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Cuenta atrás" sheetId="2" state="visible" r:id="rId4"/>
    <sheet name="Reparto por semana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<sst xmlns="http://schemas.openxmlformats.org/spreadsheetml/2006/main" count="45" uniqueCount="45">
  <si>
    <t xml:space="preserve">Cuenta atrás para el examen</t>
  </si>
  <si>
    <t xml:space="preserve">Plantilla gratuita de PlantillasDeCalculo.com</t>
  </si>
  <si>
    <t xml:space="preserve">CÓMO USARLA</t>
  </si>
  <si>
    <t xml:space="preserve">1.  Pon la fecha del examen y cuántos temas tiene tu temario.</t>
  </si>
  <si>
    <t xml:space="preserve">2.  Marca cuántos ya dominas de verdad. No cuentes los que has leído una vez.</t>
  </si>
  <si>
    <t xml:space="preserve">3.  Estima las horas que te lleva dejar un tema listo. Cronometra uno antes de decidir el número.</t>
  </si>
  <si>
    <t xml:space="preserve">4.  Di cuántos días a la semana estudias y cuántas horas al día, de forma realista.</t>
  </si>
  <si>
    <t xml:space="preserve">5.  La plantilla calcula las horas que tienes, las que necesitas y el margen entre ambas.</t>
  </si>
  <si>
    <t xml:space="preserve">6.  El veredicto te dice si llegas. Si sale en rojo, cambia una de las seis casillas y vuelve a mirar.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</si>
  <si>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</si>
  <si>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</si>
  <si>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</si>
  <si>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</si>
  <si>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Esta plantilla sirve para decidir, no para animarte. Si el resultado no sale, es mejor saberlo en agosto que en abril.</t>
  </si>
  <si>
    <t xml:space="preserve">«Días de estudio disponibles» ya descuenta los días de la semana que no estudias.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</si>
  <si>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</si>
  <si>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</si>
  <si>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CUENTA ATRÁS PARA EL EXAMEN</t>
  </si>
  <si>
    <t xml:space="preserve">Rellena las seis casillas de abajo y la plantilla te dice si llegas.</t>
  </si>
  <si>
    <t xml:space="preserve">Fecha del examen</t>
  </si>
  <si>
    <t xml:space="preserve">2027-05-15</t>
  </si>
  <si>
    <t xml:space="preserve">Temas en total</t>
  </si>
  <si>
    <t xml:space="preserve">Temas que ya dominas</t>
  </si>
  <si>
    <t xml:space="preserve">Horas que necesitas por tema</t>
  </si>
  <si>
    <t xml:space="preserve">Días que estudias por semana</t>
  </si>
  <si>
    <t xml:space="preserve">Horas por día de estudio</t>
  </si>
  <si>
    <t xml:space="preserve">LO QUE SALE</t>
  </si>
  <si>
    <t xml:space="preserve">Días naturales hasta el examen</t>
  </si>
  <si>
    <t xml:space="preserve">Semanas hasta el examen</t>
  </si>
  <si>
    <t xml:space="preserve">Días de estudio disponibles</t>
  </si>
  <si>
    <t xml:space="preserve">Horas disponibles en total</t>
  </si>
  <si>
    <t xml:space="preserve">Temas pendientes</t>
  </si>
  <si>
    <t xml:space="preserve">Horas que necesitas</t>
  </si>
  <si>
    <t xml:space="preserve">Horas de margen</t>
  </si>
  <si>
    <t xml:space="preserve">Temas por semana para llegar</t>
  </si>
  <si>
    <t xml:space="preserve">Horas al día que harían falta</t>
  </si>
  <si>
    <t xml:space="preserve">VEREDICTO</t>
  </si>
  <si>
    <t xml:space="preserve">El número que suele fallar es «horas que necesitas por tema». Cronometra un tema real antes de fiarte de la estimación.</t>
  </si>
  <si>
    <t xml:space="preserve">CÓMO REPARTIRLO</t>
  </si>
  <si>
    <t xml:space="preserve">Semana</t>
  </si>
  <si>
    <t xml:space="preserve">Desde</t>
  </si>
  <si>
    <t xml:space="preserve">Temas que toca</t>
  </si>
  <si>
    <t xml:space="preserve">Acumulado</t>
  </si>
  <si>
    <t xml:space="preserve">Horas</t>
  </si>
  <si>
    <t xml:space="preserve">Hechos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</si>
</sst>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"/>
    <numFmt numFmtId="167" formatCode="#,##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3"/>
      <color rgb="FF04785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4785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FFFDF2"/>
        <bgColor rgb="FFFFFFFF"/>
      </patternFill>
    </fill>
    <fill>
      <patternFill patternType="solid">
        <fgColor rgb="FFECFDF5"/>
        <bgColor rgb="FFFFFDF2"/>
      </patternFill>
    </fill>
    <fill>
      <patternFill patternType="solid">
        <fgColor rgb="FF12744A"/>
        <bgColor rgb="FF04785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B91C1C"/>
      <rgbColor rgb="FFFEF3C7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FFFDF2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2400E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3" min="3" style="0" width="16"/>
    <col collapsed="false" customWidth="true" hidden="false" outlineLevel="0" max="6" min="4" style="0" width="14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</row>
    <row r="4" customFormat="false" ht="15" hidden="false" customHeight="false" outlineLevel="0" collapsed="false">
      <c r="B4" s="2" t="s">
        <v>18</v>
      </c>
    </row>
    <row r="6" customFormat="false" ht="15" hidden="false" customHeight="false" outlineLevel="0" collapsed="false">
      <c r="B6" s="9" t="s">
        <v>19</v>
      </c>
      <c r="C6" s="10" t="s">
        <v>20</v>
      </c>
    </row>
    <row r="7" customFormat="false" ht="15" hidden="false" customHeight="false" outlineLevel="0" collapsed="false">
      <c r="B7" s="9" t="s">
        <v>21</v>
      </c>
      <c r="C7" s="11" t="n">
        <v>90</v>
      </c>
    </row>
    <row r="8" customFormat="false" ht="15" hidden="false" customHeight="false" outlineLevel="0" collapsed="false">
      <c r="B8" s="9" t="s">
        <v>22</v>
      </c>
      <c r="C8" s="11" t="n">
        <v>12</v>
      </c>
    </row>
    <row r="9" customFormat="false" ht="15" hidden="false" customHeight="false" outlineLevel="0" collapsed="false">
      <c r="B9" s="9" t="s">
        <v>23</v>
      </c>
      <c r="C9" s="12" t="n">
        <v>5</v>
      </c>
    </row>
    <row r="10" customFormat="false" ht="15" hidden="false" customHeight="false" outlineLevel="0" collapsed="false">
      <c r="B10" s="9" t="s">
        <v>24</v>
      </c>
      <c r="C10" s="11" t="n">
        <v>5</v>
      </c>
    </row>
    <row r="11" customFormat="false" ht="15" hidden="false" customHeight="false" outlineLevel="0" collapsed="false">
      <c r="B11" s="9" t="s">
        <v>25</v>
      </c>
      <c r="C11" s="12" t="n">
        <v>4</v>
      </c>
    </row>
    <row r="13" customFormat="false" ht="15" hidden="false" customHeight="false" outlineLevel="0" collapsed="false">
      <c r="B13" s="3" t="s">
        <v>26</v>
      </c>
    </row>
    <row r="14" customFormat="false" ht="15" hidden="false" customHeight="false" outlineLevel="0" collapsed="false">
      <c r="B14" s="9" t="s">
        <v>27</v>
      </c>
      <c r="C14" s="13" t="n">
        <f aca="true">IF(C6="","",C6-TODAY())</f>
        <v>277</v>
      </c>
    </row>
    <row r="15" customFormat="false" ht="15" hidden="false" customHeight="false" outlineLevel="0" collapsed="false">
      <c r="B15" s="9" t="s">
        <v>28</v>
      </c>
      <c r="C15" s="14" t="n">
        <f aca="true">IF(C6="","",(C6-TODAY())/7)</f>
        <v>39.5714285714286</v>
      </c>
    </row>
    <row r="16" customFormat="false" ht="15" hidden="false" customHeight="false" outlineLevel="0" collapsed="false">
      <c r="B16" s="9" t="s">
        <v>29</v>
      </c>
      <c r="C16" s="13" t="n">
        <f aca="true">IF(C6="","",INT((C6-TODAY())/7*C10))</f>
        <v>197</v>
      </c>
    </row>
    <row r="17" customFormat="false" ht="15" hidden="false" customHeight="false" outlineLevel="0" collapsed="false">
      <c r="B17" s="9" t="s">
        <v>30</v>
      </c>
      <c r="C17" s="13" t="n">
        <f aca="false">C16*C11</f>
        <v>788</v>
      </c>
    </row>
    <row r="18" customFormat="false" ht="15" hidden="false" customHeight="false" outlineLevel="0" collapsed="false">
      <c r="B18" s="9" t="s">
        <v>31</v>
      </c>
      <c r="C18" s="13" t="n">
        <f aca="false">C7-C8</f>
        <v>78</v>
      </c>
    </row>
    <row r="19" customFormat="false" ht="15" hidden="false" customHeight="false" outlineLevel="0" collapsed="false">
      <c r="B19" s="9" t="s">
        <v>32</v>
      </c>
      <c r="C19" s="13" t="n">
        <f aca="false">C18*C9</f>
        <v>390</v>
      </c>
    </row>
    <row r="20" customFormat="false" ht="15" hidden="false" customHeight="false" outlineLevel="0" collapsed="false">
      <c r="B20" s="9" t="s">
        <v>33</v>
      </c>
      <c r="C20" s="13" t="n">
        <f aca="false">C17-C19</f>
        <v>398</v>
      </c>
    </row>
    <row r="21" customFormat="false" ht="15" hidden="false" customHeight="false" outlineLevel="0" collapsed="false">
      <c r="B21" s="9" t="s">
        <v>34</v>
      </c>
      <c r="C21" s="14" t="n">
        <f aca="false">IF(C15&lt;=0,"",C18/C15)</f>
        <v>1.97111913357401</v>
      </c>
    </row>
    <row r="22" customFormat="false" ht="15" hidden="false" customHeight="false" outlineLevel="0" collapsed="false">
      <c r="B22" s="9" t="s">
        <v>35</v>
      </c>
      <c r="C22" s="14" t="n">
        <f aca="false">IF(C16&lt;=0,"",C19/C16)</f>
        <v>1.97969543147208</v>
      </c>
    </row>
    <row r="24" customFormat="false" ht="15" hidden="false" customHeight="false" outlineLevel="0" collapsed="false">
      <c r="B24" s="3" t="s">
        <v>36</v>
      </c>
    </row>
    <row r="25" customFormat="false" ht="16.15" hidden="false" customHeight="false" outlineLevel="0" collapsed="false">
      <c r="B25" s="15" t="str">
        <f aca="false">IF(C20="","",IF(C20&lt;0,"No llegas con este plan: te faltan horas.",IF(C20&lt;C19*0.1,"Vas justísimo. Cualquier imprevisto te deja fuera.","Llegas con margen. Mantén el ritmo.")))</f>
        <v>Llegas con margen. Mantén el ritmo.</v>
      </c>
      <c r="C25" s="15"/>
      <c r="D25" s="15"/>
      <c r="E25" s="15"/>
      <c r="F25" s="15"/>
    </row>
    <row r="27" customFormat="false" ht="15" hidden="false" customHeight="false" outlineLevel="0" collapsed="false">
      <c r="B27" s="7" t="s">
        <v>37</v>
      </c>
    </row>
  </sheetData>
  <sheetProtection sheet="true" formatCells="false" formatColumns="false" formatRows="false" sort="false" autoFilter="false"/>
  <mergeCells count="2">
    <mergeCell ref="B2:G2"/>
    <mergeCell ref="B25:F25"/>
  </mergeCells>
  <conditionalFormatting sqref="B25">
    <cfRule type="expression" priority="2" aboveAverage="0" equalAverage="0" bottom="0" percent="0" rank="0" text="" dxfId="0">
      <formula>LEFT(B25,9)="No llegas"</formula>
    </cfRule>
    <cfRule type="expression" priority="3" aboveAverage="0" equalAverage="0" bottom="0" percent="0" rank="0" text="" dxfId="1">
      <formula>LEFT(B25,8)="Vas just"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"/>
    <col collapsed="false" customWidth="true" hidden="false" outlineLevel="0" max="3" min="3" style="0" width="13"/>
    <col collapsed="false" customWidth="true" hidden="false" outlineLevel="0" max="4" min="4" style="0" width="17"/>
    <col collapsed="false" customWidth="true" hidden="false" outlineLevel="0" max="5" min="5" style="0" width="14"/>
    <col collapsed="false" customWidth="true" hidden="false" outlineLevel="0" max="7" min="6" style="0" width="12"/>
  </cols>
  <sheetData>
    <row r="2" customFormat="false" ht="33.75" hidden="false" customHeight="true" outlineLevel="0" collapsed="false">
      <c r="B2" s="8" t="s">
        <v>38</v>
      </c>
      <c r="C2" s="8"/>
      <c r="D2" s="8"/>
      <c r="E2" s="8"/>
      <c r="F2" s="8"/>
      <c r="G2" s="8"/>
    </row>
    <row r="4" customFormat="false" ht="30" hidden="false" customHeight="true" outlineLevel="0" collapsed="false">
      <c r="B4" s="16" t="s">
        <v>39</v>
      </c>
      <c r="C4" s="16" t="s">
        <v>40</v>
      </c>
      <c r="D4" s="16" t="s">
        <v>41</v>
      </c>
      <c r="E4" s="16" t="s">
        <v>42</v>
      </c>
      <c r="F4" s="16" t="s">
        <v>43</v>
      </c>
      <c r="G4" s="16" t="s">
        <v>44</v>
      </c>
    </row>
    <row r="5" customFormat="false" ht="15" hidden="false" customHeight="false" outlineLevel="0" collapsed="false">
      <c r="B5" s="9" t="n">
        <v>1</v>
      </c>
      <c r="C5" s="17" t="n">
        <f aca="true">TODAY()+0*7</f>
        <v>46245</v>
      </c>
      <c r="D5" s="18" t="n">
        <f aca="false">IF('Cuenta atrás'!$C$15&lt;=0,"",ROUND('Cuenta atrás'!$C$21,1))</f>
        <v>2</v>
      </c>
      <c r="E5" s="18" t="n">
        <f aca="false">IF(D5="","",MIN(D5*1,'Cuenta atrás'!$C$18))</f>
        <v>2</v>
      </c>
      <c r="F5" s="18" t="n">
        <f aca="false">IF(D5="","",D5*'Cuenta atrás'!$C$9)</f>
        <v>10</v>
      </c>
      <c r="G5" s="12"/>
    </row>
    <row r="6" customFormat="false" ht="15" hidden="false" customHeight="false" outlineLevel="0" collapsed="false">
      <c r="B6" s="9" t="n">
        <v>2</v>
      </c>
      <c r="C6" s="17" t="n">
        <f aca="true">TODAY()+1*7</f>
        <v>46252</v>
      </c>
      <c r="D6" s="18" t="n">
        <f aca="false">IF('Cuenta atrás'!$C$15&lt;=1,"",ROUND('Cuenta atrás'!$C$21,1))</f>
        <v>2</v>
      </c>
      <c r="E6" s="18" t="n">
        <f aca="false">IF(D6="","",MIN(D6*2,'Cuenta atrás'!$C$18))</f>
        <v>4</v>
      </c>
      <c r="F6" s="18" t="n">
        <f aca="false">IF(D6="","",D6*'Cuenta atrás'!$C$9)</f>
        <v>10</v>
      </c>
      <c r="G6" s="12"/>
    </row>
    <row r="7" customFormat="false" ht="15" hidden="false" customHeight="false" outlineLevel="0" collapsed="false">
      <c r="B7" s="9" t="n">
        <v>3</v>
      </c>
      <c r="C7" s="17" t="n">
        <f aca="true">TODAY()+2*7</f>
        <v>46259</v>
      </c>
      <c r="D7" s="18" t="n">
        <f aca="false">IF('Cuenta atrás'!$C$15&lt;=2,"",ROUND('Cuenta atrás'!$C$21,1))</f>
        <v>2</v>
      </c>
      <c r="E7" s="18" t="n">
        <f aca="false">IF(D7="","",MIN(D7*3,'Cuenta atrás'!$C$18))</f>
        <v>6</v>
      </c>
      <c r="F7" s="18" t="n">
        <f aca="false">IF(D7="","",D7*'Cuenta atrás'!$C$9)</f>
        <v>10</v>
      </c>
      <c r="G7" s="12"/>
    </row>
    <row r="8" customFormat="false" ht="15" hidden="false" customHeight="false" outlineLevel="0" collapsed="false">
      <c r="B8" s="9" t="n">
        <v>4</v>
      </c>
      <c r="C8" s="17" t="n">
        <f aca="true">TODAY()+3*7</f>
        <v>46266</v>
      </c>
      <c r="D8" s="18" t="n">
        <f aca="false">IF('Cuenta atrás'!$C$15&lt;=3,"",ROUND('Cuenta atrás'!$C$21,1))</f>
        <v>2</v>
      </c>
      <c r="E8" s="18" t="n">
        <f aca="false">IF(D8="","",MIN(D8*4,'Cuenta atrás'!$C$18))</f>
        <v>8</v>
      </c>
      <c r="F8" s="18" t="n">
        <f aca="false">IF(D8="","",D8*'Cuenta atrás'!$C$9)</f>
        <v>10</v>
      </c>
      <c r="G8" s="12"/>
    </row>
    <row r="9" customFormat="false" ht="15" hidden="false" customHeight="false" outlineLevel="0" collapsed="false">
      <c r="B9" s="9" t="n">
        <v>5</v>
      </c>
      <c r="C9" s="17" t="n">
        <f aca="true">TODAY()+4*7</f>
        <v>46273</v>
      </c>
      <c r="D9" s="18" t="n">
        <f aca="false">IF('Cuenta atrás'!$C$15&lt;=4,"",ROUND('Cuenta atrás'!$C$21,1))</f>
        <v>2</v>
      </c>
      <c r="E9" s="18" t="n">
        <f aca="false">IF(D9="","",MIN(D9*5,'Cuenta atrás'!$C$18))</f>
        <v>10</v>
      </c>
      <c r="F9" s="18" t="n">
        <f aca="false">IF(D9="","",D9*'Cuenta atrás'!$C$9)</f>
        <v>10</v>
      </c>
      <c r="G9" s="12"/>
    </row>
    <row r="10" customFormat="false" ht="15" hidden="false" customHeight="false" outlineLevel="0" collapsed="false">
      <c r="B10" s="9" t="n">
        <v>6</v>
      </c>
      <c r="C10" s="17" t="n">
        <f aca="true">TODAY()+5*7</f>
        <v>46280</v>
      </c>
      <c r="D10" s="18" t="n">
        <f aca="false">IF('Cuenta atrás'!$C$15&lt;=5,"",ROUND('Cuenta atrás'!$C$21,1))</f>
        <v>2</v>
      </c>
      <c r="E10" s="18" t="n">
        <f aca="false">IF(D10="","",MIN(D10*6,'Cuenta atrás'!$C$18))</f>
        <v>12</v>
      </c>
      <c r="F10" s="18" t="n">
        <f aca="false">IF(D10="","",D10*'Cuenta atrás'!$C$9)</f>
        <v>10</v>
      </c>
      <c r="G10" s="12"/>
    </row>
    <row r="11" customFormat="false" ht="15" hidden="false" customHeight="false" outlineLevel="0" collapsed="false">
      <c r="B11" s="9" t="n">
        <v>7</v>
      </c>
      <c r="C11" s="17" t="n">
        <f aca="true">TODAY()+6*7</f>
        <v>46287</v>
      </c>
      <c r="D11" s="18" t="n">
        <f aca="false">IF('Cuenta atrás'!$C$15&lt;=6,"",ROUND('Cuenta atrás'!$C$21,1))</f>
        <v>2</v>
      </c>
      <c r="E11" s="18" t="n">
        <f aca="false">IF(D11="","",MIN(D11*7,'Cuenta atrás'!$C$18))</f>
        <v>14</v>
      </c>
      <c r="F11" s="18" t="n">
        <f aca="false">IF(D11="","",D11*'Cuenta atrás'!$C$9)</f>
        <v>10</v>
      </c>
      <c r="G11" s="12"/>
    </row>
    <row r="12" customFormat="false" ht="15" hidden="false" customHeight="false" outlineLevel="0" collapsed="false">
      <c r="B12" s="9" t="n">
        <v>8</v>
      </c>
      <c r="C12" s="17" t="n">
        <f aca="true">TODAY()+7*7</f>
        <v>46294</v>
      </c>
      <c r="D12" s="18" t="n">
        <f aca="false">IF('Cuenta atrás'!$C$15&lt;=7,"",ROUND('Cuenta atrás'!$C$21,1))</f>
        <v>2</v>
      </c>
      <c r="E12" s="18" t="n">
        <f aca="false">IF(D12="","",MIN(D12*8,'Cuenta atrás'!$C$18))</f>
        <v>16</v>
      </c>
      <c r="F12" s="18" t="n">
        <f aca="false">IF(D12="","",D12*'Cuenta atrás'!$C$9)</f>
        <v>10</v>
      </c>
      <c r="G12" s="12"/>
    </row>
    <row r="13" customFormat="false" ht="15" hidden="false" customHeight="false" outlineLevel="0" collapsed="false">
      <c r="B13" s="9" t="n">
        <v>9</v>
      </c>
      <c r="C13" s="17" t="n">
        <f aca="true">TODAY()+8*7</f>
        <v>46301</v>
      </c>
      <c r="D13" s="18" t="n">
        <f aca="false">IF('Cuenta atrás'!$C$15&lt;=8,"",ROUND('Cuenta atrás'!$C$21,1))</f>
        <v>2</v>
      </c>
      <c r="E13" s="18" t="n">
        <f aca="false">IF(D13="","",MIN(D13*9,'Cuenta atrás'!$C$18))</f>
        <v>18</v>
      </c>
      <c r="F13" s="18" t="n">
        <f aca="false">IF(D13="","",D13*'Cuenta atrás'!$C$9)</f>
        <v>10</v>
      </c>
      <c r="G13" s="12"/>
    </row>
    <row r="14" customFormat="false" ht="15" hidden="false" customHeight="false" outlineLevel="0" collapsed="false">
      <c r="B14" s="9" t="n">
        <v>10</v>
      </c>
      <c r="C14" s="17" t="n">
        <f aca="true">TODAY()+9*7</f>
        <v>46308</v>
      </c>
      <c r="D14" s="18" t="n">
        <f aca="false">IF('Cuenta atrás'!$C$15&lt;=9,"",ROUND('Cuenta atrás'!$C$21,1))</f>
        <v>2</v>
      </c>
      <c r="E14" s="18" t="n">
        <f aca="false">IF(D14="","",MIN(D14*10,'Cuenta atrás'!$C$18))</f>
        <v>20</v>
      </c>
      <c r="F14" s="18" t="n">
        <f aca="false">IF(D14="","",D14*'Cuenta atrás'!$C$9)</f>
        <v>10</v>
      </c>
      <c r="G14" s="12"/>
    </row>
    <row r="15" customFormat="false" ht="15" hidden="false" customHeight="false" outlineLevel="0" collapsed="false">
      <c r="B15" s="9" t="n">
        <v>11</v>
      </c>
      <c r="C15" s="17" t="n">
        <f aca="true">TODAY()+10*7</f>
        <v>46315</v>
      </c>
      <c r="D15" s="18" t="n">
        <f aca="false">IF('Cuenta atrás'!$C$15&lt;=10,"",ROUND('Cuenta atrás'!$C$21,1))</f>
        <v>2</v>
      </c>
      <c r="E15" s="18" t="n">
        <f aca="false">IF(D15="","",MIN(D15*11,'Cuenta atrás'!$C$18))</f>
        <v>22</v>
      </c>
      <c r="F15" s="18" t="n">
        <f aca="false">IF(D15="","",D15*'Cuenta atrás'!$C$9)</f>
        <v>10</v>
      </c>
      <c r="G15" s="12"/>
    </row>
    <row r="16" customFormat="false" ht="15" hidden="false" customHeight="false" outlineLevel="0" collapsed="false">
      <c r="B16" s="9" t="n">
        <v>12</v>
      </c>
      <c r="C16" s="17" t="n">
        <f aca="true">TODAY()+11*7</f>
        <v>46322</v>
      </c>
      <c r="D16" s="18" t="n">
        <f aca="false">IF('Cuenta atrás'!$C$15&lt;=11,"",ROUND('Cuenta atrás'!$C$21,1))</f>
        <v>2</v>
      </c>
      <c r="E16" s="18" t="n">
        <f aca="false">IF(D16="","",MIN(D16*12,'Cuenta atrás'!$C$18))</f>
        <v>24</v>
      </c>
      <c r="F16" s="18" t="n">
        <f aca="false">IF(D16="","",D16*'Cuenta atrás'!$C$9)</f>
        <v>10</v>
      </c>
      <c r="G16" s="12"/>
    </row>
    <row r="17" customFormat="false" ht="15" hidden="false" customHeight="false" outlineLevel="0" collapsed="false">
      <c r="B17" s="9" t="n">
        <v>13</v>
      </c>
      <c r="C17" s="17" t="n">
        <f aca="true">TODAY()+12*7</f>
        <v>46329</v>
      </c>
      <c r="D17" s="18" t="n">
        <f aca="false">IF('Cuenta atrás'!$C$15&lt;=12,"",ROUND('Cuenta atrás'!$C$21,1))</f>
        <v>2</v>
      </c>
      <c r="E17" s="18" t="n">
        <f aca="false">IF(D17="","",MIN(D17*13,'Cuenta atrás'!$C$18))</f>
        <v>26</v>
      </c>
      <c r="F17" s="18" t="n">
        <f aca="false">IF(D17="","",D17*'Cuenta atrás'!$C$9)</f>
        <v>10</v>
      </c>
      <c r="G17" s="12"/>
    </row>
    <row r="18" customFormat="false" ht="15" hidden="false" customHeight="false" outlineLevel="0" collapsed="false">
      <c r="B18" s="9" t="n">
        <v>14</v>
      </c>
      <c r="C18" s="17" t="n">
        <f aca="true">TODAY()+13*7</f>
        <v>46336</v>
      </c>
      <c r="D18" s="18" t="n">
        <f aca="false">IF('Cuenta atrás'!$C$15&lt;=13,"",ROUND('Cuenta atrás'!$C$21,1))</f>
        <v>2</v>
      </c>
      <c r="E18" s="18" t="n">
        <f aca="false">IF(D18="","",MIN(D18*14,'Cuenta atrás'!$C$18))</f>
        <v>28</v>
      </c>
      <c r="F18" s="18" t="n">
        <f aca="false">IF(D18="","",D18*'Cuenta atrás'!$C$9)</f>
        <v>10</v>
      </c>
      <c r="G18" s="12"/>
    </row>
    <row r="19" customFormat="false" ht="15" hidden="false" customHeight="false" outlineLevel="0" collapsed="false">
      <c r="B19" s="9" t="n">
        <v>15</v>
      </c>
      <c r="C19" s="17" t="n">
        <f aca="true">TODAY()+14*7</f>
        <v>46343</v>
      </c>
      <c r="D19" s="18" t="n">
        <f aca="false">IF('Cuenta atrás'!$C$15&lt;=14,"",ROUND('Cuenta atrás'!$C$21,1))</f>
        <v>2</v>
      </c>
      <c r="E19" s="18" t="n">
        <f aca="false">IF(D19="","",MIN(D19*15,'Cuenta atrás'!$C$18))</f>
        <v>30</v>
      </c>
      <c r="F19" s="18" t="n">
        <f aca="false">IF(D19="","",D19*'Cuenta atrás'!$C$9)</f>
        <v>10</v>
      </c>
      <c r="G19" s="12"/>
    </row>
    <row r="20" customFormat="false" ht="15" hidden="false" customHeight="false" outlineLevel="0" collapsed="false">
      <c r="B20" s="9" t="n">
        <v>16</v>
      </c>
      <c r="C20" s="17" t="n">
        <f aca="true">TODAY()+15*7</f>
        <v>46350</v>
      </c>
      <c r="D20" s="18" t="n">
        <f aca="false">IF('Cuenta atrás'!$C$15&lt;=15,"",ROUND('Cuenta atrás'!$C$21,1))</f>
        <v>2</v>
      </c>
      <c r="E20" s="18" t="n">
        <f aca="false">IF(D20="","",MIN(D20*16,'Cuenta atrás'!$C$18))</f>
        <v>32</v>
      </c>
      <c r="F20" s="18" t="n">
        <f aca="false">IF(D20="","",D20*'Cuenta atrás'!$C$9)</f>
        <v>10</v>
      </c>
      <c r="G20" s="12"/>
    </row>
    <row r="21" customFormat="false" ht="15" hidden="false" customHeight="false" outlineLevel="0" collapsed="false">
      <c r="B21" s="9" t="n">
        <v>17</v>
      </c>
      <c r="C21" s="17" t="n">
        <f aca="true">TODAY()+16*7</f>
        <v>46357</v>
      </c>
      <c r="D21" s="18" t="n">
        <f aca="false">IF('Cuenta atrás'!$C$15&lt;=16,"",ROUND('Cuenta atrás'!$C$21,1))</f>
        <v>2</v>
      </c>
      <c r="E21" s="18" t="n">
        <f aca="false">IF(D21="","",MIN(D21*17,'Cuenta atrás'!$C$18))</f>
        <v>34</v>
      </c>
      <c r="F21" s="18" t="n">
        <f aca="false">IF(D21="","",D21*'Cuenta atrás'!$C$9)</f>
        <v>10</v>
      </c>
      <c r="G21" s="12"/>
    </row>
    <row r="22" customFormat="false" ht="15" hidden="false" customHeight="false" outlineLevel="0" collapsed="false">
      <c r="B22" s="9" t="n">
        <v>18</v>
      </c>
      <c r="C22" s="17" t="n">
        <f aca="true">TODAY()+17*7</f>
        <v>46364</v>
      </c>
      <c r="D22" s="18" t="n">
        <f aca="false">IF('Cuenta atrás'!$C$15&lt;=17,"",ROUND('Cuenta atrás'!$C$21,1))</f>
        <v>2</v>
      </c>
      <c r="E22" s="18" t="n">
        <f aca="false">IF(D22="","",MIN(D22*18,'Cuenta atrás'!$C$18))</f>
        <v>36</v>
      </c>
      <c r="F22" s="18" t="n">
        <f aca="false">IF(D22="","",D22*'Cuenta atrás'!$C$9)</f>
        <v>10</v>
      </c>
      <c r="G22" s="12"/>
    </row>
    <row r="23" customFormat="false" ht="15" hidden="false" customHeight="false" outlineLevel="0" collapsed="false">
      <c r="B23" s="9" t="n">
        <v>19</v>
      </c>
      <c r="C23" s="17" t="n">
        <f aca="true">TODAY()+18*7</f>
        <v>46371</v>
      </c>
      <c r="D23" s="18" t="n">
        <f aca="false">IF('Cuenta atrás'!$C$15&lt;=18,"",ROUND('Cuenta atrás'!$C$21,1))</f>
        <v>2</v>
      </c>
      <c r="E23" s="18" t="n">
        <f aca="false">IF(D23="","",MIN(D23*19,'Cuenta atrás'!$C$18))</f>
        <v>38</v>
      </c>
      <c r="F23" s="18" t="n">
        <f aca="false">IF(D23="","",D23*'Cuenta atrás'!$C$9)</f>
        <v>10</v>
      </c>
      <c r="G23" s="12"/>
    </row>
    <row r="24" customFormat="false" ht="15" hidden="false" customHeight="false" outlineLevel="0" collapsed="false">
      <c r="B24" s="9" t="n">
        <v>20</v>
      </c>
      <c r="C24" s="17" t="n">
        <f aca="true">TODAY()+19*7</f>
        <v>46378</v>
      </c>
      <c r="D24" s="18" t="n">
        <f aca="false">IF('Cuenta atrás'!$C$15&lt;=19,"",ROUND('Cuenta atrás'!$C$21,1))</f>
        <v>2</v>
      </c>
      <c r="E24" s="18" t="n">
        <f aca="false">IF(D24="","",MIN(D24*20,'Cuenta atrás'!$C$18))</f>
        <v>40</v>
      </c>
      <c r="F24" s="18" t="n">
        <f aca="false">IF(D24="","",D24*'Cuenta atrás'!$C$9)</f>
        <v>10</v>
      </c>
      <c r="G24" s="12"/>
    </row>
    <row r="25" customFormat="false" ht="15" hidden="false" customHeight="false" outlineLevel="0" collapsed="false">
      <c r="B25" s="9" t="n">
        <v>21</v>
      </c>
      <c r="C25" s="17" t="n">
        <f aca="true">TODAY()+20*7</f>
        <v>46385</v>
      </c>
      <c r="D25" s="18" t="n">
        <f aca="false">IF('Cuenta atrás'!$C$15&lt;=20,"",ROUND('Cuenta atrás'!$C$21,1))</f>
        <v>2</v>
      </c>
      <c r="E25" s="18" t="n">
        <f aca="false">IF(D25="","",MIN(D25*21,'Cuenta atrás'!$C$18))</f>
        <v>42</v>
      </c>
      <c r="F25" s="18" t="n">
        <f aca="false">IF(D25="","",D25*'Cuenta atrás'!$C$9)</f>
        <v>10</v>
      </c>
      <c r="G25" s="12"/>
    </row>
    <row r="26" customFormat="false" ht="15" hidden="false" customHeight="false" outlineLevel="0" collapsed="false">
      <c r="B26" s="9" t="n">
        <v>22</v>
      </c>
      <c r="C26" s="17" t="n">
        <f aca="true">TODAY()+21*7</f>
        <v>46392</v>
      </c>
      <c r="D26" s="18" t="n">
        <f aca="false">IF('Cuenta atrás'!$C$15&lt;=21,"",ROUND('Cuenta atrás'!$C$21,1))</f>
        <v>2</v>
      </c>
      <c r="E26" s="18" t="n">
        <f aca="false">IF(D26="","",MIN(D26*22,'Cuenta atrás'!$C$18))</f>
        <v>44</v>
      </c>
      <c r="F26" s="18" t="n">
        <f aca="false">IF(D26="","",D26*'Cuenta atrás'!$C$9)</f>
        <v>10</v>
      </c>
      <c r="G26" s="12"/>
    </row>
    <row r="27" customFormat="false" ht="15" hidden="false" customHeight="false" outlineLevel="0" collapsed="false">
      <c r="B27" s="9" t="n">
        <v>23</v>
      </c>
      <c r="C27" s="17" t="n">
        <f aca="true">TODAY()+22*7</f>
        <v>46399</v>
      </c>
      <c r="D27" s="18" t="n">
        <f aca="false">IF('Cuenta atrás'!$C$15&lt;=22,"",ROUND('Cuenta atrás'!$C$21,1))</f>
        <v>2</v>
      </c>
      <c r="E27" s="18" t="n">
        <f aca="false">IF(D27="","",MIN(D27*23,'Cuenta atrás'!$C$18))</f>
        <v>46</v>
      </c>
      <c r="F27" s="18" t="n">
        <f aca="false">IF(D27="","",D27*'Cuenta atrás'!$C$9)</f>
        <v>10</v>
      </c>
      <c r="G27" s="12"/>
    </row>
    <row r="28" customFormat="false" ht="15" hidden="false" customHeight="false" outlineLevel="0" collapsed="false">
      <c r="B28" s="9" t="n">
        <v>24</v>
      </c>
      <c r="C28" s="17" t="n">
        <f aca="true">TODAY()+23*7</f>
        <v>46406</v>
      </c>
      <c r="D28" s="18" t="n">
        <f aca="false">IF('Cuenta atrás'!$C$15&lt;=23,"",ROUND('Cuenta atrás'!$C$21,1))</f>
        <v>2</v>
      </c>
      <c r="E28" s="18" t="n">
        <f aca="false">IF(D28="","",MIN(D28*24,'Cuenta atrás'!$C$18))</f>
        <v>48</v>
      </c>
      <c r="F28" s="18" t="n">
        <f aca="false">IF(D28="","",D28*'Cuenta atrás'!$C$9)</f>
        <v>10</v>
      </c>
      <c r="G28" s="12"/>
    </row>
    <row r="29" customFormat="false" ht="15" hidden="false" customHeight="false" outlineLevel="0" collapsed="false">
      <c r="B29" s="9" t="n">
        <v>25</v>
      </c>
      <c r="C29" s="17" t="n">
        <f aca="true">TODAY()+24*7</f>
        <v>46413</v>
      </c>
      <c r="D29" s="18" t="n">
        <f aca="false">IF('Cuenta atrás'!$C$15&lt;=24,"",ROUND('Cuenta atrás'!$C$21,1))</f>
        <v>2</v>
      </c>
      <c r="E29" s="18" t="n">
        <f aca="false">IF(D29="","",MIN(D29*25,'Cuenta atrás'!$C$18))</f>
        <v>50</v>
      </c>
      <c r="F29" s="18" t="n">
        <f aca="false">IF(D29="","",D29*'Cuenta atrás'!$C$9)</f>
        <v>10</v>
      </c>
      <c r="G29" s="12"/>
    </row>
    <row r="30" customFormat="false" ht="15" hidden="false" customHeight="false" outlineLevel="0" collapsed="false">
      <c r="B30" s="9" t="n">
        <v>26</v>
      </c>
      <c r="C30" s="17" t="n">
        <f aca="true">TODAY()+25*7</f>
        <v>46420</v>
      </c>
      <c r="D30" s="18" t="n">
        <f aca="false">IF('Cuenta atrás'!$C$15&lt;=25,"",ROUND('Cuenta atrás'!$C$21,1))</f>
        <v>2</v>
      </c>
      <c r="E30" s="18" t="n">
        <f aca="false">IF(D30="","",MIN(D30*26,'Cuenta atrás'!$C$18))</f>
        <v>52</v>
      </c>
      <c r="F30" s="18" t="n">
        <f aca="false">IF(D30="","",D30*'Cuenta atrás'!$C$9)</f>
        <v>10</v>
      </c>
      <c r="G30" s="12"/>
    </row>
    <row r="31" customFormat="false" ht="15" hidden="false" customHeight="false" outlineLevel="0" collapsed="false">
      <c r="B31" s="9" t="n">
        <v>27</v>
      </c>
      <c r="C31" s="17" t="n">
        <f aca="true">TODAY()+26*7</f>
        <v>46427</v>
      </c>
      <c r="D31" s="18" t="n">
        <f aca="false">IF('Cuenta atrás'!$C$15&lt;=26,"",ROUND('Cuenta atrás'!$C$21,1))</f>
        <v>2</v>
      </c>
      <c r="E31" s="18" t="n">
        <f aca="false">IF(D31="","",MIN(D31*27,'Cuenta atrás'!$C$18))</f>
        <v>54</v>
      </c>
      <c r="F31" s="18" t="n">
        <f aca="false">IF(D31="","",D31*'Cuenta atrás'!$C$9)</f>
        <v>10</v>
      </c>
      <c r="G31" s="12"/>
    </row>
    <row r="32" customFormat="false" ht="15" hidden="false" customHeight="false" outlineLevel="0" collapsed="false">
      <c r="B32" s="9" t="n">
        <v>28</v>
      </c>
      <c r="C32" s="17" t="n">
        <f aca="true">TODAY()+27*7</f>
        <v>46434</v>
      </c>
      <c r="D32" s="18" t="n">
        <f aca="false">IF('Cuenta atrás'!$C$15&lt;=27,"",ROUND('Cuenta atrás'!$C$21,1))</f>
        <v>2</v>
      </c>
      <c r="E32" s="18" t="n">
        <f aca="false">IF(D32="","",MIN(D32*28,'Cuenta atrás'!$C$18))</f>
        <v>56</v>
      </c>
      <c r="F32" s="18" t="n">
        <f aca="false">IF(D32="","",D32*'Cuenta atrás'!$C$9)</f>
        <v>10</v>
      </c>
      <c r="G32" s="12"/>
    </row>
    <row r="33" customFormat="false" ht="15" hidden="false" customHeight="false" outlineLevel="0" collapsed="false">
      <c r="B33" s="9" t="n">
        <v>29</v>
      </c>
      <c r="C33" s="17" t="n">
        <f aca="true">TODAY()+28*7</f>
        <v>46441</v>
      </c>
      <c r="D33" s="18" t="n">
        <f aca="false">IF('Cuenta atrás'!$C$15&lt;=28,"",ROUND('Cuenta atrás'!$C$21,1))</f>
        <v>2</v>
      </c>
      <c r="E33" s="18" t="n">
        <f aca="false">IF(D33="","",MIN(D33*29,'Cuenta atrás'!$C$18))</f>
        <v>58</v>
      </c>
      <c r="F33" s="18" t="n">
        <f aca="false">IF(D33="","",D33*'Cuenta atrás'!$C$9)</f>
        <v>10</v>
      </c>
      <c r="G33" s="12"/>
    </row>
    <row r="34" customFormat="false" ht="15" hidden="false" customHeight="false" outlineLevel="0" collapsed="false">
      <c r="B34" s="9" t="n">
        <v>30</v>
      </c>
      <c r="C34" s="17" t="n">
        <f aca="true">TODAY()+29*7</f>
        <v>46448</v>
      </c>
      <c r="D34" s="18" t="n">
        <f aca="false">IF('Cuenta atrás'!$C$15&lt;=29,"",ROUND('Cuenta atrás'!$C$21,1))</f>
        <v>2</v>
      </c>
      <c r="E34" s="18" t="n">
        <f aca="false">IF(D34="","",MIN(D34*30,'Cuenta atrás'!$C$18))</f>
        <v>60</v>
      </c>
      <c r="F34" s="18" t="n">
        <f aca="false">IF(D34="","",D34*'Cuenta atrás'!$C$9)</f>
        <v>10</v>
      </c>
      <c r="G34" s="12"/>
    </row>
    <row r="35" customFormat="false" ht="15" hidden="false" customHeight="false" outlineLevel="0" collapsed="false">
      <c r="B35" s="9" t="n">
        <v>31</v>
      </c>
      <c r="C35" s="17" t="n">
        <f aca="true">TODAY()+30*7</f>
        <v>46455</v>
      </c>
      <c r="D35" s="18" t="n">
        <f aca="false">IF('Cuenta atrás'!$C$15&lt;=30,"",ROUND('Cuenta atrás'!$C$21,1))</f>
        <v>2</v>
      </c>
      <c r="E35" s="18" t="n">
        <f aca="false">IF(D35="","",MIN(D35*31,'Cuenta atrás'!$C$18))</f>
        <v>62</v>
      </c>
      <c r="F35" s="18" t="n">
        <f aca="false">IF(D35="","",D35*'Cuenta atrás'!$C$9)</f>
        <v>10</v>
      </c>
      <c r="G35" s="12"/>
    </row>
    <row r="36" customFormat="false" ht="15" hidden="false" customHeight="false" outlineLevel="0" collapsed="false">
      <c r="B36" s="9" t="n">
        <v>32</v>
      </c>
      <c r="C36" s="17" t="n">
        <f aca="true">TODAY()+31*7</f>
        <v>46462</v>
      </c>
      <c r="D36" s="18" t="n">
        <f aca="false">IF('Cuenta atrás'!$C$15&lt;=31,"",ROUND('Cuenta atrás'!$C$21,1))</f>
        <v>2</v>
      </c>
      <c r="E36" s="18" t="n">
        <f aca="false">IF(D36="","",MIN(D36*32,'Cuenta atrás'!$C$18))</f>
        <v>64</v>
      </c>
      <c r="F36" s="18" t="n">
        <f aca="false">IF(D36="","",D36*'Cuenta atrás'!$C$9)</f>
        <v>10</v>
      </c>
      <c r="G36" s="12"/>
    </row>
    <row r="37" customFormat="false" ht="15" hidden="false" customHeight="false" outlineLevel="0" collapsed="false">
      <c r="B37" s="9" t="n">
        <v>33</v>
      </c>
      <c r="C37" s="17" t="n">
        <f aca="true">TODAY()+32*7</f>
        <v>46469</v>
      </c>
      <c r="D37" s="18" t="n">
        <f aca="false">IF('Cuenta atrás'!$C$15&lt;=32,"",ROUND('Cuenta atrás'!$C$21,1))</f>
        <v>2</v>
      </c>
      <c r="E37" s="18" t="n">
        <f aca="false">IF(D37="","",MIN(D37*33,'Cuenta atrás'!$C$18))</f>
        <v>66</v>
      </c>
      <c r="F37" s="18" t="n">
        <f aca="false">IF(D37="","",D37*'Cuenta atrás'!$C$9)</f>
        <v>10</v>
      </c>
      <c r="G37" s="12"/>
    </row>
    <row r="38" customFormat="false" ht="15" hidden="false" customHeight="false" outlineLevel="0" collapsed="false">
      <c r="B38" s="9" t="n">
        <v>34</v>
      </c>
      <c r="C38" s="17" t="n">
        <f aca="true">TODAY()+33*7</f>
        <v>46476</v>
      </c>
      <c r="D38" s="18" t="n">
        <f aca="false">IF('Cuenta atrás'!$C$15&lt;=33,"",ROUND('Cuenta atrás'!$C$21,1))</f>
        <v>2</v>
      </c>
      <c r="E38" s="18" t="n">
        <f aca="false">IF(D38="","",MIN(D38*34,'Cuenta atrás'!$C$18))</f>
        <v>68</v>
      </c>
      <c r="F38" s="18" t="n">
        <f aca="false">IF(D38="","",D38*'Cuenta atrás'!$C$9)</f>
        <v>10</v>
      </c>
      <c r="G38" s="12"/>
    </row>
    <row r="39" customFormat="false" ht="15" hidden="false" customHeight="false" outlineLevel="0" collapsed="false">
      <c r="B39" s="9" t="n">
        <v>35</v>
      </c>
      <c r="C39" s="17" t="n">
        <f aca="true">TODAY()+34*7</f>
        <v>46483</v>
      </c>
      <c r="D39" s="18" t="n">
        <f aca="false">IF('Cuenta atrás'!$C$15&lt;=34,"",ROUND('Cuenta atrás'!$C$21,1))</f>
        <v>2</v>
      </c>
      <c r="E39" s="18" t="n">
        <f aca="false">IF(D39="","",MIN(D39*35,'Cuenta atrás'!$C$18))</f>
        <v>70</v>
      </c>
      <c r="F39" s="18" t="n">
        <f aca="false">IF(D39="","",D39*'Cuenta atrás'!$C$9)</f>
        <v>10</v>
      </c>
      <c r="G39" s="12"/>
    </row>
    <row r="40" customFormat="false" ht="15" hidden="false" customHeight="false" outlineLevel="0" collapsed="false">
      <c r="B40" s="9" t="n">
        <v>36</v>
      </c>
      <c r="C40" s="17" t="n">
        <f aca="true">TODAY()+35*7</f>
        <v>46490</v>
      </c>
      <c r="D40" s="18" t="n">
        <f aca="false">IF('Cuenta atrás'!$C$15&lt;=35,"",ROUND('Cuenta atrás'!$C$21,1))</f>
        <v>2</v>
      </c>
      <c r="E40" s="18" t="n">
        <f aca="false">IF(D40="","",MIN(D40*36,'Cuenta atrás'!$C$18))</f>
        <v>72</v>
      </c>
      <c r="F40" s="18" t="n">
        <f aca="false">IF(D40="","",D40*'Cuenta atrás'!$C$9)</f>
        <v>10</v>
      </c>
      <c r="G40" s="12"/>
    </row>
    <row r="41" customFormat="false" ht="15" hidden="false" customHeight="false" outlineLevel="0" collapsed="false">
      <c r="B41" s="9" t="n">
        <v>37</v>
      </c>
      <c r="C41" s="17" t="n">
        <f aca="true">TODAY()+36*7</f>
        <v>46497</v>
      </c>
      <c r="D41" s="18" t="n">
        <f aca="false">IF('Cuenta atrás'!$C$15&lt;=36,"",ROUND('Cuenta atrás'!$C$21,1))</f>
        <v>2</v>
      </c>
      <c r="E41" s="18" t="n">
        <f aca="false">IF(D41="","",MIN(D41*37,'Cuenta atrás'!$C$18))</f>
        <v>74</v>
      </c>
      <c r="F41" s="18" t="n">
        <f aca="false">IF(D41="","",D41*'Cuenta atrás'!$C$9)</f>
        <v>10</v>
      </c>
      <c r="G41" s="12"/>
    </row>
    <row r="42" customFormat="false" ht="15" hidden="false" customHeight="false" outlineLevel="0" collapsed="false">
      <c r="B42" s="9" t="n">
        <v>38</v>
      </c>
      <c r="C42" s="17" t="n">
        <f aca="true">TODAY()+37*7</f>
        <v>46504</v>
      </c>
      <c r="D42" s="18" t="n">
        <f aca="false">IF('Cuenta atrás'!$C$15&lt;=37,"",ROUND('Cuenta atrás'!$C$21,1))</f>
        <v>2</v>
      </c>
      <c r="E42" s="18" t="n">
        <f aca="false">IF(D42="","",MIN(D42*38,'Cuenta atrás'!$C$18))</f>
        <v>76</v>
      </c>
      <c r="F42" s="18" t="n">
        <f aca="false">IF(D42="","",D42*'Cuenta atrás'!$C$9)</f>
        <v>10</v>
      </c>
      <c r="G42" s="12"/>
    </row>
    <row r="43" customFormat="false" ht="15" hidden="false" customHeight="false" outlineLevel="0" collapsed="false">
      <c r="B43" s="9" t="n">
        <v>39</v>
      </c>
      <c r="C43" s="17" t="n">
        <f aca="true">TODAY()+38*7</f>
        <v>46511</v>
      </c>
      <c r="D43" s="18" t="n">
        <f aca="false">IF('Cuenta atrás'!$C$15&lt;=38,"",ROUND('Cuenta atrás'!$C$21,1))</f>
        <v>2</v>
      </c>
      <c r="E43" s="18" t="n">
        <f aca="false">IF(D43="","",MIN(D43*39,'Cuenta atrás'!$C$18))</f>
        <v>78</v>
      </c>
      <c r="F43" s="18" t="n">
        <f aca="false">IF(D43="","",D43*'Cuenta atrás'!$C$9)</f>
        <v>10</v>
      </c>
      <c r="G43" s="12"/>
    </row>
    <row r="44" customFormat="false" ht="15" hidden="false" customHeight="false" outlineLevel="0" collapsed="false">
      <c r="B44" s="9" t="n">
        <v>40</v>
      </c>
      <c r="C44" s="17" t="n">
        <f aca="true">TODAY()+39*7</f>
        <v>46518</v>
      </c>
      <c r="D44" s="18" t="n">
        <f aca="false">IF('Cuenta atrás'!$C$15&lt;=39,"",ROUND('Cuenta atrás'!$C$21,1))</f>
        <v>2</v>
      </c>
      <c r="E44" s="18" t="n">
        <f aca="false">IF(D44="","",MIN(D44*40,'Cuenta atrás'!$C$18))</f>
        <v>78</v>
      </c>
      <c r="F44" s="18" t="n">
        <f aca="false">IF(D44="","",D44*'Cuenta atrás'!$C$9)</f>
        <v>10</v>
      </c>
      <c r="G44" s="12"/>
    </row>
    <row r="45" customFormat="false" ht="15" hidden="false" customHeight="false" outlineLevel="0" collapsed="false">
      <c r="B45" s="9" t="n">
        <v>41</v>
      </c>
      <c r="C45" s="17" t="n">
        <f aca="true">TODAY()+40*7</f>
        <v>46525</v>
      </c>
      <c r="D45" s="18" t="str">
        <f aca="false">IF('Cuenta atrás'!$C$15&lt;=40,"",ROUND('Cuenta atrás'!$C$21,1))</f>
        <v/>
      </c>
      <c r="E45" s="18" t="str">
        <f aca="false">IF(D45="","",MIN(D45*41,'Cuenta atrás'!$C$18))</f>
        <v/>
      </c>
      <c r="F45" s="18" t="str">
        <f aca="false">IF(D45="","",D45*'Cuenta atrás'!$C$9)</f>
        <v/>
      </c>
      <c r="G45" s="12"/>
    </row>
    <row r="46" customFormat="false" ht="15" hidden="false" customHeight="false" outlineLevel="0" collapsed="false">
      <c r="B46" s="9" t="n">
        <v>42</v>
      </c>
      <c r="C46" s="17" t="n">
        <f aca="true">TODAY()+41*7</f>
        <v>46532</v>
      </c>
      <c r="D46" s="18" t="str">
        <f aca="false">IF('Cuenta atrás'!$C$15&lt;=41,"",ROUND('Cuenta atrás'!$C$21,1))</f>
        <v/>
      </c>
      <c r="E46" s="18" t="str">
        <f aca="false">IF(D46="","",MIN(D46*42,'Cuenta atrás'!$C$18))</f>
        <v/>
      </c>
      <c r="F46" s="18" t="str">
        <f aca="false">IF(D46="","",D46*'Cuenta atrás'!$C$9)</f>
        <v/>
      </c>
      <c r="G46" s="12"/>
    </row>
    <row r="47" customFormat="false" ht="15" hidden="false" customHeight="false" outlineLevel="0" collapsed="false">
      <c r="B47" s="9" t="n">
        <v>43</v>
      </c>
      <c r="C47" s="17" t="n">
        <f aca="true">TODAY()+42*7</f>
        <v>46539</v>
      </c>
      <c r="D47" s="18" t="str">
        <f aca="false">IF('Cuenta atrás'!$C$15&lt;=42,"",ROUND('Cuenta atrás'!$C$21,1))</f>
        <v/>
      </c>
      <c r="E47" s="18" t="str">
        <f aca="false">IF(D47="","",MIN(D47*43,'Cuenta atrás'!$C$18))</f>
        <v/>
      </c>
      <c r="F47" s="18" t="str">
        <f aca="false">IF(D47="","",D47*'Cuenta atrás'!$C$9)</f>
        <v/>
      </c>
      <c r="G47" s="12"/>
    </row>
    <row r="48" customFormat="false" ht="15" hidden="false" customHeight="false" outlineLevel="0" collapsed="false">
      <c r="B48" s="9" t="n">
        <v>44</v>
      </c>
      <c r="C48" s="17" t="n">
        <f aca="true">TODAY()+43*7</f>
        <v>46546</v>
      </c>
      <c r="D48" s="18" t="str">
        <f aca="false">IF('Cuenta atrás'!$C$15&lt;=43,"",ROUND('Cuenta atrás'!$C$21,1))</f>
        <v/>
      </c>
      <c r="E48" s="18" t="str">
        <f aca="false">IF(D48="","",MIN(D48*44,'Cuenta atrás'!$C$18))</f>
        <v/>
      </c>
      <c r="F48" s="18" t="str">
        <f aca="false">IF(D48="","",D48*'Cuenta atrás'!$C$9)</f>
        <v/>
      </c>
      <c r="G48" s="12"/>
    </row>
    <row r="49" customFormat="false" ht="15" hidden="false" customHeight="false" outlineLevel="0" collapsed="false">
      <c r="B49" s="9" t="n">
        <v>45</v>
      </c>
      <c r="C49" s="17" t="n">
        <f aca="true">TODAY()+44*7</f>
        <v>46553</v>
      </c>
      <c r="D49" s="18" t="str">
        <f aca="false">IF('Cuenta atrás'!$C$15&lt;=44,"",ROUND('Cuenta atrás'!$C$21,1))</f>
        <v/>
      </c>
      <c r="E49" s="18" t="str">
        <f aca="false">IF(D49="","",MIN(D49*45,'Cuenta atrás'!$C$18))</f>
        <v/>
      </c>
      <c r="F49" s="18" t="str">
        <f aca="false">IF(D49="","",D49*'Cuenta atrás'!$C$9)</f>
        <v/>
      </c>
      <c r="G49" s="12"/>
    </row>
    <row r="50" customFormat="false" ht="15" hidden="false" customHeight="false" outlineLevel="0" collapsed="false">
      <c r="B50" s="9" t="n">
        <v>46</v>
      </c>
      <c r="C50" s="17" t="n">
        <f aca="true">TODAY()+45*7</f>
        <v>46560</v>
      </c>
      <c r="D50" s="18" t="str">
        <f aca="false">IF('Cuenta atrás'!$C$15&lt;=45,"",ROUND('Cuenta atrás'!$C$21,1))</f>
        <v/>
      </c>
      <c r="E50" s="18" t="str">
        <f aca="false">IF(D50="","",MIN(D50*46,'Cuenta atrás'!$C$18))</f>
        <v/>
      </c>
      <c r="F50" s="18" t="str">
        <f aca="false">IF(D50="","",D50*'Cuenta atrás'!$C$9)</f>
        <v/>
      </c>
      <c r="G50" s="12"/>
    </row>
    <row r="51" customFormat="false" ht="15" hidden="false" customHeight="false" outlineLevel="0" collapsed="false">
      <c r="B51" s="9" t="n">
        <v>47</v>
      </c>
      <c r="C51" s="17" t="n">
        <f aca="true">TODAY()+46*7</f>
        <v>46567</v>
      </c>
      <c r="D51" s="18" t="str">
        <f aca="false">IF('Cuenta atrás'!$C$15&lt;=46,"",ROUND('Cuenta atrás'!$C$21,1))</f>
        <v/>
      </c>
      <c r="E51" s="18" t="str">
        <f aca="false">IF(D51="","",MIN(D51*47,'Cuenta atrás'!$C$18))</f>
        <v/>
      </c>
      <c r="F51" s="18" t="str">
        <f aca="false">IF(D51="","",D51*'Cuenta atrás'!$C$9)</f>
        <v/>
      </c>
      <c r="G51" s="12"/>
    </row>
    <row r="52" customFormat="false" ht="15" hidden="false" customHeight="false" outlineLevel="0" collapsed="false">
      <c r="B52" s="9" t="n">
        <v>48</v>
      </c>
      <c r="C52" s="17" t="n">
        <f aca="true">TODAY()+47*7</f>
        <v>46574</v>
      </c>
      <c r="D52" s="18" t="str">
        <f aca="false">IF('Cuenta atrás'!$C$15&lt;=47,"",ROUND('Cuenta atrás'!$C$21,1))</f>
        <v/>
      </c>
      <c r="E52" s="18" t="str">
        <f aca="false">IF(D52="","",MIN(D52*48,'Cuenta atrás'!$C$18))</f>
        <v/>
      </c>
      <c r="F52" s="18" t="str">
        <f aca="false">IF(D52="","",D52*'Cuenta atrás'!$C$9)</f>
        <v/>
      </c>
      <c r="G52" s="12"/>
    </row>
    <row r="53" customFormat="false" ht="15" hidden="false" customHeight="false" outlineLevel="0" collapsed="false">
      <c r="B53" s="9" t="n">
        <v>49</v>
      </c>
      <c r="C53" s="17" t="n">
        <f aca="true">TODAY()+48*7</f>
        <v>46581</v>
      </c>
      <c r="D53" s="18" t="str">
        <f aca="false">IF('Cuenta atrás'!$C$15&lt;=48,"",ROUND('Cuenta atrás'!$C$21,1))</f>
        <v/>
      </c>
      <c r="E53" s="18" t="str">
        <f aca="false">IF(D53="","",MIN(D53*49,'Cuenta atrás'!$C$18))</f>
        <v/>
      </c>
      <c r="F53" s="18" t="str">
        <f aca="false">IF(D53="","",D53*'Cuenta atrás'!$C$9)</f>
        <v/>
      </c>
      <c r="G53" s="12"/>
    </row>
    <row r="54" customFormat="false" ht="15" hidden="false" customHeight="false" outlineLevel="0" collapsed="false">
      <c r="B54" s="9" t="n">
        <v>50</v>
      </c>
      <c r="C54" s="17" t="n">
        <f aca="true">TODAY()+49*7</f>
        <v>46588</v>
      </c>
      <c r="D54" s="18" t="str">
        <f aca="false">IF('Cuenta atrás'!$C$15&lt;=49,"",ROUND('Cuenta atrás'!$C$21,1))</f>
        <v/>
      </c>
      <c r="E54" s="18" t="str">
        <f aca="false">IF(D54="","",MIN(D54*50,'Cuenta atrás'!$C$18))</f>
        <v/>
      </c>
      <c r="F54" s="18" t="str">
        <f aca="false">IF(D54="","",D54*'Cuenta atrás'!$C$9)</f>
        <v/>
      </c>
      <c r="G54" s="12"/>
    </row>
    <row r="55" customFormat="false" ht="15" hidden="false" customHeight="false" outlineLevel="0" collapsed="false">
      <c r="B55" s="9" t="n">
        <v>51</v>
      </c>
      <c r="C55" s="17" t="n">
        <f aca="true">TODAY()+50*7</f>
        <v>46595</v>
      </c>
      <c r="D55" s="18" t="str">
        <f aca="false">IF('Cuenta atrás'!$C$15&lt;=50,"",ROUND('Cuenta atrás'!$C$21,1))</f>
        <v/>
      </c>
      <c r="E55" s="18" t="str">
        <f aca="false">IF(D55="","",MIN(D55*51,'Cuenta atrás'!$C$18))</f>
        <v/>
      </c>
      <c r="F55" s="18" t="str">
        <f aca="false">IF(D55="","",D55*'Cuenta atrás'!$C$9)</f>
        <v/>
      </c>
      <c r="G55" s="12"/>
    </row>
    <row r="56" customFormat="false" ht="15" hidden="false" customHeight="false" outlineLevel="0" collapsed="false">
      <c r="B56" s="9" t="n">
        <v>52</v>
      </c>
      <c r="C56" s="17" t="n">
        <f aca="true">TODAY()+51*7</f>
        <v>46602</v>
      </c>
      <c r="D56" s="18" t="str">
        <f aca="false">IF('Cuenta atrás'!$C$15&lt;=51,"",ROUND('Cuenta atrás'!$C$21,1))</f>
        <v/>
      </c>
      <c r="E56" s="18" t="str">
        <f aca="false">IF(D56="","",MIN(D56*52,'Cuenta atrás'!$C$18))</f>
        <v/>
      </c>
      <c r="F56" s="18" t="str">
        <f aca="false">IF(D56="","",D56*'Cuenta atrás'!$C$9)</f>
        <v/>
      </c>
      <c r="G56" s="12"/>
    </row>
  </sheetData>
  <sheetProtection sheet="true" formatCells="false" formatColumns="false" formatRows="false" sort="false" autoFilter="false"/>
  <mergeCells count="1">
    <mergeCell ref="B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2026-08-11T13:52:29Z</dcterms:created>
  <dc:creator>openpyxl</dc:creator>
  <dc:description/>
  <dc:language>en-US</dc:language>
  <cp:lastModifiedBy/>
  <dcterms:modified xsi:type="dcterms:W3CDTF">2026-08-11T13:52:29Z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