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éstam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4" fontId="3" fillId="3" borderId="0" applyProtection="1" pivotButton="0" quotePrefix="0" xfId="0">
      <protection locked="0" hidden="0"/>
    </xf>
    <xf numFmtId="3" fontId="4" fillId="0" borderId="0" pivotButton="0" quotePrefix="0" xfId="0"/>
    <xf numFmtId="164" fontId="3" fillId="3" borderId="0" applyProtection="1" pivotButton="0" quotePrefix="0" xfId="0">
      <protection locked="0" hidden="0"/>
    </xf>
    <xf numFmtId="4" fontId="5" fillId="0" borderId="0" pivotButton="0" quotePrefix="0" xfId="0"/>
    <xf numFmtId="3" fontId="3" fillId="3" borderId="0" applyProtection="1" pivotButton="0" quotePrefix="0" xfId="0">
      <protection locked="0" hidden="0"/>
    </xf>
    <xf numFmtId="4" fontId="4" fillId="0" borderId="0" pivotButton="0" quotePrefix="0" xfId="0"/>
    <xf numFmtId="165" fontId="3" fillId="3" borderId="0" applyProtection="1" pivotButton="0" quotePrefix="0" xfId="0">
      <protection locked="0" hidden="0"/>
    </xf>
    <xf numFmtId="0" fontId="6" fillId="4" borderId="0" applyAlignment="1" pivotButton="0" quotePrefix="0" xfId="0">
      <alignment horizontal="center" vertical="center" wrapText="1"/>
    </xf>
    <xf numFmtId="165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Tabla de amortización de préstamo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Escribe el importe del préstamo, el interés anual (TIN) y el plazo en años.</t>
        </is>
      </c>
    </row>
    <row r="7" ht="20" customHeight="1">
      <c r="B7" s="4" t="inlineStr">
        <is>
          <t>2.  La cuota mensual se calcula sola con el sistema francés (cuota fija).</t>
        </is>
      </c>
    </row>
    <row r="8" ht="20" customHeight="1">
      <c r="B8" s="4" t="inlineStr">
        <is>
          <t>3.  La tabla te desglosa cada mes: cuánto va a intereses y cuánto a capital.</t>
        </is>
      </c>
    </row>
    <row r="9" ht="20" customHeight="1">
      <c r="B9" s="4" t="inlineStr">
        <is>
          <t>4.  Verás cómo baja el capital pendiente hasta llegar a cero.</t>
        </is>
      </c>
    </row>
    <row r="10" ht="20" customHeight="1">
      <c r="B10" s="4" t="inlineStr">
        <is>
          <t>5.  Arriba tienes el total a pagar y los intereses totales del préstamo.</t>
        </is>
      </c>
    </row>
    <row r="12">
      <c r="B12" s="3" t="inlineStr">
        <is>
          <t>TEN EN CUENTA</t>
        </is>
      </c>
    </row>
    <row r="13" ht="16" customHeight="1">
      <c r="B13" s="2" t="inlineStr">
        <is>
          <t>Es una simulación con cuota fija (sistema francés) y TIN constante. Tu banco puede aplicar comisiones, seguros o un TAE distinto.</t>
        </is>
      </c>
    </row>
    <row r="14"/>
    <row r="15" ht="16" customHeight="1">
      <c r="B15" s="2" t="inlineStr">
        <is>
          <t>No es una oferta ni asesoramiento financiero: sirve para hacerte una idea antes de firmar.</t>
        </is>
      </c>
    </row>
    <row r="16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9:I9"/>
    <mergeCell ref="B13:I14"/>
    <mergeCell ref="B3:I4"/>
    <mergeCell ref="B7:I7"/>
    <mergeCell ref="B6:I6"/>
    <mergeCell ref="B2:I2"/>
    <mergeCell ref="B10:I10"/>
    <mergeCell ref="B15:I16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H369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8" customWidth="1" min="2" max="2"/>
    <col width="12" customWidth="1" min="3" max="3"/>
    <col width="16" customWidth="1" min="4" max="4"/>
    <col width="14" customWidth="1" min="5" max="5"/>
    <col width="14" customWidth="1" min="6" max="6"/>
    <col width="16" customWidth="1" min="7" max="7"/>
    <col width="14" customWidth="1" min="8" max="8"/>
  </cols>
  <sheetData>
    <row r="2" ht="30" customHeight="1">
      <c r="B2" s="1" t="inlineStr">
        <is>
          <t>TABLA DE AMORTIZACIÓN DE PRÉSTAMO</t>
        </is>
      </c>
    </row>
    <row r="4">
      <c r="B4" s="5" t="inlineStr">
        <is>
          <t>Importe del préstamo (€)</t>
        </is>
      </c>
      <c r="D4" s="6" t="n">
        <v>20000</v>
      </c>
      <c r="F4" s="5" t="inlineStr">
        <is>
          <t>Nº de cuotas</t>
        </is>
      </c>
      <c r="H4" s="7">
        <f>D6*12</f>
        <v/>
      </c>
    </row>
    <row r="5">
      <c r="B5" s="5" t="inlineStr">
        <is>
          <t>Interés anual (TIN %)</t>
        </is>
      </c>
      <c r="D5" s="8" t="n">
        <v>0.06</v>
      </c>
      <c r="F5" s="5" t="inlineStr">
        <is>
          <t>Cuota mensual (€)</t>
        </is>
      </c>
      <c r="H5" s="9">
        <f>IFERROR(-PMT(D5/12,D6*12,D4),"")</f>
        <v/>
      </c>
    </row>
    <row r="6">
      <c r="B6" s="5" t="inlineStr">
        <is>
          <t>Plazo (años)</t>
        </is>
      </c>
      <c r="D6" s="10" t="n">
        <v>5</v>
      </c>
      <c r="F6" s="5" t="inlineStr">
        <is>
          <t>Total a pagar (€)</t>
        </is>
      </c>
      <c r="H6" s="11">
        <f>IFERROR(H5*H4,"")</f>
        <v/>
      </c>
    </row>
    <row r="7">
      <c r="B7" s="5" t="inlineStr">
        <is>
          <t>Fecha de inicio</t>
        </is>
      </c>
      <c r="D7" s="12" t="n">
        <v>46266</v>
      </c>
      <c r="F7" s="5" t="inlineStr">
        <is>
          <t>Intereses totales (€)</t>
        </is>
      </c>
      <c r="H7" s="11">
        <f>IFERROR(H6-D4,"")</f>
        <v/>
      </c>
    </row>
    <row r="9" ht="30" customHeight="1">
      <c r="B9" s="13" t="inlineStr">
        <is>
          <t>Nº</t>
        </is>
      </c>
      <c r="C9" s="13" t="inlineStr">
        <is>
          <t>Fecha</t>
        </is>
      </c>
      <c r="D9" s="13" t="inlineStr">
        <is>
          <t>Cuota (€)</t>
        </is>
      </c>
      <c r="E9" s="13" t="inlineStr">
        <is>
          <t>Intereses (€)</t>
        </is>
      </c>
      <c r="F9" s="13" t="inlineStr">
        <is>
          <t>Capital (€)</t>
        </is>
      </c>
      <c r="G9" s="13" t="inlineStr">
        <is>
          <t>Pendiente (€)</t>
        </is>
      </c>
    </row>
    <row r="10">
      <c r="B10" s="7">
        <f>IF(1&lt;=$H$4,1,"")</f>
        <v/>
      </c>
      <c r="C10" s="14">
        <f>IF(B10="","",EDATE($D$7,1-1))</f>
        <v/>
      </c>
      <c r="D10" s="11">
        <f>IF(B10="","",$H$5)</f>
        <v/>
      </c>
      <c r="E10" s="11">
        <f>IF(B10="","",$D$4*$D$5/12)</f>
        <v/>
      </c>
      <c r="F10" s="11">
        <f>IF(B10="","",D10-E10)</f>
        <v/>
      </c>
      <c r="G10" s="11">
        <f>IF(B10="","",$D$4-F10)</f>
        <v/>
      </c>
    </row>
    <row r="11">
      <c r="B11" s="7">
        <f>IF(2&lt;=$H$4,2,"")</f>
        <v/>
      </c>
      <c r="C11" s="14">
        <f>IF(B11="","",EDATE($D$7,2-1))</f>
        <v/>
      </c>
      <c r="D11" s="11">
        <f>IF(B11="","",$H$5)</f>
        <v/>
      </c>
      <c r="E11" s="11">
        <f>IF(B11="","",G10*$D$5/12)</f>
        <v/>
      </c>
      <c r="F11" s="11">
        <f>IF(B11="","",D11-E11)</f>
        <v/>
      </c>
      <c r="G11" s="11">
        <f>IF(B11="","",G10-F11)</f>
        <v/>
      </c>
    </row>
    <row r="12">
      <c r="B12" s="7">
        <f>IF(3&lt;=$H$4,3,"")</f>
        <v/>
      </c>
      <c r="C12" s="14">
        <f>IF(B12="","",EDATE($D$7,3-1))</f>
        <v/>
      </c>
      <c r="D12" s="11">
        <f>IF(B12="","",$H$5)</f>
        <v/>
      </c>
      <c r="E12" s="11">
        <f>IF(B12="","",G11*$D$5/12)</f>
        <v/>
      </c>
      <c r="F12" s="11">
        <f>IF(B12="","",D12-E12)</f>
        <v/>
      </c>
      <c r="G12" s="11">
        <f>IF(B12="","",G11-F12)</f>
        <v/>
      </c>
    </row>
    <row r="13">
      <c r="B13" s="7">
        <f>IF(4&lt;=$H$4,4,"")</f>
        <v/>
      </c>
      <c r="C13" s="14">
        <f>IF(B13="","",EDATE($D$7,4-1))</f>
        <v/>
      </c>
      <c r="D13" s="11">
        <f>IF(B13="","",$H$5)</f>
        <v/>
      </c>
      <c r="E13" s="11">
        <f>IF(B13="","",G12*$D$5/12)</f>
        <v/>
      </c>
      <c r="F13" s="11">
        <f>IF(B13="","",D13-E13)</f>
        <v/>
      </c>
      <c r="G13" s="11">
        <f>IF(B13="","",G12-F13)</f>
        <v/>
      </c>
    </row>
    <row r="14">
      <c r="B14" s="7">
        <f>IF(5&lt;=$H$4,5,"")</f>
        <v/>
      </c>
      <c r="C14" s="14">
        <f>IF(B14="","",EDATE($D$7,5-1))</f>
        <v/>
      </c>
      <c r="D14" s="11">
        <f>IF(B14="","",$H$5)</f>
        <v/>
      </c>
      <c r="E14" s="11">
        <f>IF(B14="","",G13*$D$5/12)</f>
        <v/>
      </c>
      <c r="F14" s="11">
        <f>IF(B14="","",D14-E14)</f>
        <v/>
      </c>
      <c r="G14" s="11">
        <f>IF(B14="","",G13-F14)</f>
        <v/>
      </c>
    </row>
    <row r="15">
      <c r="B15" s="7">
        <f>IF(6&lt;=$H$4,6,"")</f>
        <v/>
      </c>
      <c r="C15" s="14">
        <f>IF(B15="","",EDATE($D$7,6-1))</f>
        <v/>
      </c>
      <c r="D15" s="11">
        <f>IF(B15="","",$H$5)</f>
        <v/>
      </c>
      <c r="E15" s="11">
        <f>IF(B15="","",G14*$D$5/12)</f>
        <v/>
      </c>
      <c r="F15" s="11">
        <f>IF(B15="","",D15-E15)</f>
        <v/>
      </c>
      <c r="G15" s="11">
        <f>IF(B15="","",G14-F15)</f>
        <v/>
      </c>
    </row>
    <row r="16">
      <c r="B16" s="7">
        <f>IF(7&lt;=$H$4,7,"")</f>
        <v/>
      </c>
      <c r="C16" s="14">
        <f>IF(B16="","",EDATE($D$7,7-1))</f>
        <v/>
      </c>
      <c r="D16" s="11">
        <f>IF(B16="","",$H$5)</f>
        <v/>
      </c>
      <c r="E16" s="11">
        <f>IF(B16="","",G15*$D$5/12)</f>
        <v/>
      </c>
      <c r="F16" s="11">
        <f>IF(B16="","",D16-E16)</f>
        <v/>
      </c>
      <c r="G16" s="11">
        <f>IF(B16="","",G15-F16)</f>
        <v/>
      </c>
    </row>
    <row r="17">
      <c r="B17" s="7">
        <f>IF(8&lt;=$H$4,8,"")</f>
        <v/>
      </c>
      <c r="C17" s="14">
        <f>IF(B17="","",EDATE($D$7,8-1))</f>
        <v/>
      </c>
      <c r="D17" s="11">
        <f>IF(B17="","",$H$5)</f>
        <v/>
      </c>
      <c r="E17" s="11">
        <f>IF(B17="","",G16*$D$5/12)</f>
        <v/>
      </c>
      <c r="F17" s="11">
        <f>IF(B17="","",D17-E17)</f>
        <v/>
      </c>
      <c r="G17" s="11">
        <f>IF(B17="","",G16-F17)</f>
        <v/>
      </c>
    </row>
    <row r="18">
      <c r="B18" s="7">
        <f>IF(9&lt;=$H$4,9,"")</f>
        <v/>
      </c>
      <c r="C18" s="14">
        <f>IF(B18="","",EDATE($D$7,9-1))</f>
        <v/>
      </c>
      <c r="D18" s="11">
        <f>IF(B18="","",$H$5)</f>
        <v/>
      </c>
      <c r="E18" s="11">
        <f>IF(B18="","",G17*$D$5/12)</f>
        <v/>
      </c>
      <c r="F18" s="11">
        <f>IF(B18="","",D18-E18)</f>
        <v/>
      </c>
      <c r="G18" s="11">
        <f>IF(B18="","",G17-F18)</f>
        <v/>
      </c>
    </row>
    <row r="19">
      <c r="B19" s="7">
        <f>IF(10&lt;=$H$4,10,"")</f>
        <v/>
      </c>
      <c r="C19" s="14">
        <f>IF(B19="","",EDATE($D$7,10-1))</f>
        <v/>
      </c>
      <c r="D19" s="11">
        <f>IF(B19="","",$H$5)</f>
        <v/>
      </c>
      <c r="E19" s="11">
        <f>IF(B19="","",G18*$D$5/12)</f>
        <v/>
      </c>
      <c r="F19" s="11">
        <f>IF(B19="","",D19-E19)</f>
        <v/>
      </c>
      <c r="G19" s="11">
        <f>IF(B19="","",G18-F19)</f>
        <v/>
      </c>
    </row>
    <row r="20">
      <c r="B20" s="7">
        <f>IF(11&lt;=$H$4,11,"")</f>
        <v/>
      </c>
      <c r="C20" s="14">
        <f>IF(B20="","",EDATE($D$7,11-1))</f>
        <v/>
      </c>
      <c r="D20" s="11">
        <f>IF(B20="","",$H$5)</f>
        <v/>
      </c>
      <c r="E20" s="11">
        <f>IF(B20="","",G19*$D$5/12)</f>
        <v/>
      </c>
      <c r="F20" s="11">
        <f>IF(B20="","",D20-E20)</f>
        <v/>
      </c>
      <c r="G20" s="11">
        <f>IF(B20="","",G19-F20)</f>
        <v/>
      </c>
    </row>
    <row r="21">
      <c r="B21" s="7">
        <f>IF(12&lt;=$H$4,12,"")</f>
        <v/>
      </c>
      <c r="C21" s="14">
        <f>IF(B21="","",EDATE($D$7,12-1))</f>
        <v/>
      </c>
      <c r="D21" s="11">
        <f>IF(B21="","",$H$5)</f>
        <v/>
      </c>
      <c r="E21" s="11">
        <f>IF(B21="","",G20*$D$5/12)</f>
        <v/>
      </c>
      <c r="F21" s="11">
        <f>IF(B21="","",D21-E21)</f>
        <v/>
      </c>
      <c r="G21" s="11">
        <f>IF(B21="","",G20-F21)</f>
        <v/>
      </c>
    </row>
    <row r="22">
      <c r="B22" s="7">
        <f>IF(13&lt;=$H$4,13,"")</f>
        <v/>
      </c>
      <c r="C22" s="14">
        <f>IF(B22="","",EDATE($D$7,13-1))</f>
        <v/>
      </c>
      <c r="D22" s="11">
        <f>IF(B22="","",$H$5)</f>
        <v/>
      </c>
      <c r="E22" s="11">
        <f>IF(B22="","",G21*$D$5/12)</f>
        <v/>
      </c>
      <c r="F22" s="11">
        <f>IF(B22="","",D22-E22)</f>
        <v/>
      </c>
      <c r="G22" s="11">
        <f>IF(B22="","",G21-F22)</f>
        <v/>
      </c>
    </row>
    <row r="23">
      <c r="B23" s="7">
        <f>IF(14&lt;=$H$4,14,"")</f>
        <v/>
      </c>
      <c r="C23" s="14">
        <f>IF(B23="","",EDATE($D$7,14-1))</f>
        <v/>
      </c>
      <c r="D23" s="11">
        <f>IF(B23="","",$H$5)</f>
        <v/>
      </c>
      <c r="E23" s="11">
        <f>IF(B23="","",G22*$D$5/12)</f>
        <v/>
      </c>
      <c r="F23" s="11">
        <f>IF(B23="","",D23-E23)</f>
        <v/>
      </c>
      <c r="G23" s="11">
        <f>IF(B23="","",G22-F23)</f>
        <v/>
      </c>
    </row>
    <row r="24">
      <c r="B24" s="7">
        <f>IF(15&lt;=$H$4,15,"")</f>
        <v/>
      </c>
      <c r="C24" s="14">
        <f>IF(B24="","",EDATE($D$7,15-1))</f>
        <v/>
      </c>
      <c r="D24" s="11">
        <f>IF(B24="","",$H$5)</f>
        <v/>
      </c>
      <c r="E24" s="11">
        <f>IF(B24="","",G23*$D$5/12)</f>
        <v/>
      </c>
      <c r="F24" s="11">
        <f>IF(B24="","",D24-E24)</f>
        <v/>
      </c>
      <c r="G24" s="11">
        <f>IF(B24="","",G23-F24)</f>
        <v/>
      </c>
    </row>
    <row r="25">
      <c r="B25" s="7">
        <f>IF(16&lt;=$H$4,16,"")</f>
        <v/>
      </c>
      <c r="C25" s="14">
        <f>IF(B25="","",EDATE($D$7,16-1))</f>
        <v/>
      </c>
      <c r="D25" s="11">
        <f>IF(B25="","",$H$5)</f>
        <v/>
      </c>
      <c r="E25" s="11">
        <f>IF(B25="","",G24*$D$5/12)</f>
        <v/>
      </c>
      <c r="F25" s="11">
        <f>IF(B25="","",D25-E25)</f>
        <v/>
      </c>
      <c r="G25" s="11">
        <f>IF(B25="","",G24-F25)</f>
        <v/>
      </c>
    </row>
    <row r="26">
      <c r="B26" s="7">
        <f>IF(17&lt;=$H$4,17,"")</f>
        <v/>
      </c>
      <c r="C26" s="14">
        <f>IF(B26="","",EDATE($D$7,17-1))</f>
        <v/>
      </c>
      <c r="D26" s="11">
        <f>IF(B26="","",$H$5)</f>
        <v/>
      </c>
      <c r="E26" s="11">
        <f>IF(B26="","",G25*$D$5/12)</f>
        <v/>
      </c>
      <c r="F26" s="11">
        <f>IF(B26="","",D26-E26)</f>
        <v/>
      </c>
      <c r="G26" s="11">
        <f>IF(B26="","",G25-F26)</f>
        <v/>
      </c>
    </row>
    <row r="27">
      <c r="B27" s="7">
        <f>IF(18&lt;=$H$4,18,"")</f>
        <v/>
      </c>
      <c r="C27" s="14">
        <f>IF(B27="","",EDATE($D$7,18-1))</f>
        <v/>
      </c>
      <c r="D27" s="11">
        <f>IF(B27="","",$H$5)</f>
        <v/>
      </c>
      <c r="E27" s="11">
        <f>IF(B27="","",G26*$D$5/12)</f>
        <v/>
      </c>
      <c r="F27" s="11">
        <f>IF(B27="","",D27-E27)</f>
        <v/>
      </c>
      <c r="G27" s="11">
        <f>IF(B27="","",G26-F27)</f>
        <v/>
      </c>
    </row>
    <row r="28">
      <c r="B28" s="7">
        <f>IF(19&lt;=$H$4,19,"")</f>
        <v/>
      </c>
      <c r="C28" s="14">
        <f>IF(B28="","",EDATE($D$7,19-1))</f>
        <v/>
      </c>
      <c r="D28" s="11">
        <f>IF(B28="","",$H$5)</f>
        <v/>
      </c>
      <c r="E28" s="11">
        <f>IF(B28="","",G27*$D$5/12)</f>
        <v/>
      </c>
      <c r="F28" s="11">
        <f>IF(B28="","",D28-E28)</f>
        <v/>
      </c>
      <c r="G28" s="11">
        <f>IF(B28="","",G27-F28)</f>
        <v/>
      </c>
    </row>
    <row r="29">
      <c r="B29" s="7">
        <f>IF(20&lt;=$H$4,20,"")</f>
        <v/>
      </c>
      <c r="C29" s="14">
        <f>IF(B29="","",EDATE($D$7,20-1))</f>
        <v/>
      </c>
      <c r="D29" s="11">
        <f>IF(B29="","",$H$5)</f>
        <v/>
      </c>
      <c r="E29" s="11">
        <f>IF(B29="","",G28*$D$5/12)</f>
        <v/>
      </c>
      <c r="F29" s="11">
        <f>IF(B29="","",D29-E29)</f>
        <v/>
      </c>
      <c r="G29" s="11">
        <f>IF(B29="","",G28-F29)</f>
        <v/>
      </c>
    </row>
    <row r="30">
      <c r="B30" s="7">
        <f>IF(21&lt;=$H$4,21,"")</f>
        <v/>
      </c>
      <c r="C30" s="14">
        <f>IF(B30="","",EDATE($D$7,21-1))</f>
        <v/>
      </c>
      <c r="D30" s="11">
        <f>IF(B30="","",$H$5)</f>
        <v/>
      </c>
      <c r="E30" s="11">
        <f>IF(B30="","",G29*$D$5/12)</f>
        <v/>
      </c>
      <c r="F30" s="11">
        <f>IF(B30="","",D30-E30)</f>
        <v/>
      </c>
      <c r="G30" s="11">
        <f>IF(B30="","",G29-F30)</f>
        <v/>
      </c>
    </row>
    <row r="31">
      <c r="B31" s="7">
        <f>IF(22&lt;=$H$4,22,"")</f>
        <v/>
      </c>
      <c r="C31" s="14">
        <f>IF(B31="","",EDATE($D$7,22-1))</f>
        <v/>
      </c>
      <c r="D31" s="11">
        <f>IF(B31="","",$H$5)</f>
        <v/>
      </c>
      <c r="E31" s="11">
        <f>IF(B31="","",G30*$D$5/12)</f>
        <v/>
      </c>
      <c r="F31" s="11">
        <f>IF(B31="","",D31-E31)</f>
        <v/>
      </c>
      <c r="G31" s="11">
        <f>IF(B31="","",G30-F31)</f>
        <v/>
      </c>
    </row>
    <row r="32">
      <c r="B32" s="7">
        <f>IF(23&lt;=$H$4,23,"")</f>
        <v/>
      </c>
      <c r="C32" s="14">
        <f>IF(B32="","",EDATE($D$7,23-1))</f>
        <v/>
      </c>
      <c r="D32" s="11">
        <f>IF(B32="","",$H$5)</f>
        <v/>
      </c>
      <c r="E32" s="11">
        <f>IF(B32="","",G31*$D$5/12)</f>
        <v/>
      </c>
      <c r="F32" s="11">
        <f>IF(B32="","",D32-E32)</f>
        <v/>
      </c>
      <c r="G32" s="11">
        <f>IF(B32="","",G31-F32)</f>
        <v/>
      </c>
    </row>
    <row r="33">
      <c r="B33" s="7">
        <f>IF(24&lt;=$H$4,24,"")</f>
        <v/>
      </c>
      <c r="C33" s="14">
        <f>IF(B33="","",EDATE($D$7,24-1))</f>
        <v/>
      </c>
      <c r="D33" s="11">
        <f>IF(B33="","",$H$5)</f>
        <v/>
      </c>
      <c r="E33" s="11">
        <f>IF(B33="","",G32*$D$5/12)</f>
        <v/>
      </c>
      <c r="F33" s="11">
        <f>IF(B33="","",D33-E33)</f>
        <v/>
      </c>
      <c r="G33" s="11">
        <f>IF(B33="","",G32-F33)</f>
        <v/>
      </c>
    </row>
    <row r="34">
      <c r="B34" s="7">
        <f>IF(25&lt;=$H$4,25,"")</f>
        <v/>
      </c>
      <c r="C34" s="14">
        <f>IF(B34="","",EDATE($D$7,25-1))</f>
        <v/>
      </c>
      <c r="D34" s="11">
        <f>IF(B34="","",$H$5)</f>
        <v/>
      </c>
      <c r="E34" s="11">
        <f>IF(B34="","",G33*$D$5/12)</f>
        <v/>
      </c>
      <c r="F34" s="11">
        <f>IF(B34="","",D34-E34)</f>
        <v/>
      </c>
      <c r="G34" s="11">
        <f>IF(B34="","",G33-F34)</f>
        <v/>
      </c>
    </row>
    <row r="35">
      <c r="B35" s="7">
        <f>IF(26&lt;=$H$4,26,"")</f>
        <v/>
      </c>
      <c r="C35" s="14">
        <f>IF(B35="","",EDATE($D$7,26-1))</f>
        <v/>
      </c>
      <c r="D35" s="11">
        <f>IF(B35="","",$H$5)</f>
        <v/>
      </c>
      <c r="E35" s="11">
        <f>IF(B35="","",G34*$D$5/12)</f>
        <v/>
      </c>
      <c r="F35" s="11">
        <f>IF(B35="","",D35-E35)</f>
        <v/>
      </c>
      <c r="G35" s="11">
        <f>IF(B35="","",G34-F35)</f>
        <v/>
      </c>
    </row>
    <row r="36">
      <c r="B36" s="7">
        <f>IF(27&lt;=$H$4,27,"")</f>
        <v/>
      </c>
      <c r="C36" s="14">
        <f>IF(B36="","",EDATE($D$7,27-1))</f>
        <v/>
      </c>
      <c r="D36" s="11">
        <f>IF(B36="","",$H$5)</f>
        <v/>
      </c>
      <c r="E36" s="11">
        <f>IF(B36="","",G35*$D$5/12)</f>
        <v/>
      </c>
      <c r="F36" s="11">
        <f>IF(B36="","",D36-E36)</f>
        <v/>
      </c>
      <c r="G36" s="11">
        <f>IF(B36="","",G35-F36)</f>
        <v/>
      </c>
    </row>
    <row r="37">
      <c r="B37" s="7">
        <f>IF(28&lt;=$H$4,28,"")</f>
        <v/>
      </c>
      <c r="C37" s="14">
        <f>IF(B37="","",EDATE($D$7,28-1))</f>
        <v/>
      </c>
      <c r="D37" s="11">
        <f>IF(B37="","",$H$5)</f>
        <v/>
      </c>
      <c r="E37" s="11">
        <f>IF(B37="","",G36*$D$5/12)</f>
        <v/>
      </c>
      <c r="F37" s="11">
        <f>IF(B37="","",D37-E37)</f>
        <v/>
      </c>
      <c r="G37" s="11">
        <f>IF(B37="","",G36-F37)</f>
        <v/>
      </c>
    </row>
    <row r="38">
      <c r="B38" s="7">
        <f>IF(29&lt;=$H$4,29,"")</f>
        <v/>
      </c>
      <c r="C38" s="14">
        <f>IF(B38="","",EDATE($D$7,29-1))</f>
        <v/>
      </c>
      <c r="D38" s="11">
        <f>IF(B38="","",$H$5)</f>
        <v/>
      </c>
      <c r="E38" s="11">
        <f>IF(B38="","",G37*$D$5/12)</f>
        <v/>
      </c>
      <c r="F38" s="11">
        <f>IF(B38="","",D38-E38)</f>
        <v/>
      </c>
      <c r="G38" s="11">
        <f>IF(B38="","",G37-F38)</f>
        <v/>
      </c>
    </row>
    <row r="39">
      <c r="B39" s="7">
        <f>IF(30&lt;=$H$4,30,"")</f>
        <v/>
      </c>
      <c r="C39" s="14">
        <f>IF(B39="","",EDATE($D$7,30-1))</f>
        <v/>
      </c>
      <c r="D39" s="11">
        <f>IF(B39="","",$H$5)</f>
        <v/>
      </c>
      <c r="E39" s="11">
        <f>IF(B39="","",G38*$D$5/12)</f>
        <v/>
      </c>
      <c r="F39" s="11">
        <f>IF(B39="","",D39-E39)</f>
        <v/>
      </c>
      <c r="G39" s="11">
        <f>IF(B39="","",G38-F39)</f>
        <v/>
      </c>
    </row>
    <row r="40">
      <c r="B40" s="7">
        <f>IF(31&lt;=$H$4,31,"")</f>
        <v/>
      </c>
      <c r="C40" s="14">
        <f>IF(B40="","",EDATE($D$7,31-1))</f>
        <v/>
      </c>
      <c r="D40" s="11">
        <f>IF(B40="","",$H$5)</f>
        <v/>
      </c>
      <c r="E40" s="11">
        <f>IF(B40="","",G39*$D$5/12)</f>
        <v/>
      </c>
      <c r="F40" s="11">
        <f>IF(B40="","",D40-E40)</f>
        <v/>
      </c>
      <c r="G40" s="11">
        <f>IF(B40="","",G39-F40)</f>
        <v/>
      </c>
    </row>
    <row r="41">
      <c r="B41" s="7">
        <f>IF(32&lt;=$H$4,32,"")</f>
        <v/>
      </c>
      <c r="C41" s="14">
        <f>IF(B41="","",EDATE($D$7,32-1))</f>
        <v/>
      </c>
      <c r="D41" s="11">
        <f>IF(B41="","",$H$5)</f>
        <v/>
      </c>
      <c r="E41" s="11">
        <f>IF(B41="","",G40*$D$5/12)</f>
        <v/>
      </c>
      <c r="F41" s="11">
        <f>IF(B41="","",D41-E41)</f>
        <v/>
      </c>
      <c r="G41" s="11">
        <f>IF(B41="","",G40-F41)</f>
        <v/>
      </c>
    </row>
    <row r="42">
      <c r="B42" s="7">
        <f>IF(33&lt;=$H$4,33,"")</f>
        <v/>
      </c>
      <c r="C42" s="14">
        <f>IF(B42="","",EDATE($D$7,33-1))</f>
        <v/>
      </c>
      <c r="D42" s="11">
        <f>IF(B42="","",$H$5)</f>
        <v/>
      </c>
      <c r="E42" s="11">
        <f>IF(B42="","",G41*$D$5/12)</f>
        <v/>
      </c>
      <c r="F42" s="11">
        <f>IF(B42="","",D42-E42)</f>
        <v/>
      </c>
      <c r="G42" s="11">
        <f>IF(B42="","",G41-F42)</f>
        <v/>
      </c>
    </row>
    <row r="43">
      <c r="B43" s="7">
        <f>IF(34&lt;=$H$4,34,"")</f>
        <v/>
      </c>
      <c r="C43" s="14">
        <f>IF(B43="","",EDATE($D$7,34-1))</f>
        <v/>
      </c>
      <c r="D43" s="11">
        <f>IF(B43="","",$H$5)</f>
        <v/>
      </c>
      <c r="E43" s="11">
        <f>IF(B43="","",G42*$D$5/12)</f>
        <v/>
      </c>
      <c r="F43" s="11">
        <f>IF(B43="","",D43-E43)</f>
        <v/>
      </c>
      <c r="G43" s="11">
        <f>IF(B43="","",G42-F43)</f>
        <v/>
      </c>
    </row>
    <row r="44">
      <c r="B44" s="7">
        <f>IF(35&lt;=$H$4,35,"")</f>
        <v/>
      </c>
      <c r="C44" s="14">
        <f>IF(B44="","",EDATE($D$7,35-1))</f>
        <v/>
      </c>
      <c r="D44" s="11">
        <f>IF(B44="","",$H$5)</f>
        <v/>
      </c>
      <c r="E44" s="11">
        <f>IF(B44="","",G43*$D$5/12)</f>
        <v/>
      </c>
      <c r="F44" s="11">
        <f>IF(B44="","",D44-E44)</f>
        <v/>
      </c>
      <c r="G44" s="11">
        <f>IF(B44="","",G43-F44)</f>
        <v/>
      </c>
    </row>
    <row r="45">
      <c r="B45" s="7">
        <f>IF(36&lt;=$H$4,36,"")</f>
        <v/>
      </c>
      <c r="C45" s="14">
        <f>IF(B45="","",EDATE($D$7,36-1))</f>
        <v/>
      </c>
      <c r="D45" s="11">
        <f>IF(B45="","",$H$5)</f>
        <v/>
      </c>
      <c r="E45" s="11">
        <f>IF(B45="","",G44*$D$5/12)</f>
        <v/>
      </c>
      <c r="F45" s="11">
        <f>IF(B45="","",D45-E45)</f>
        <v/>
      </c>
      <c r="G45" s="11">
        <f>IF(B45="","",G44-F45)</f>
        <v/>
      </c>
    </row>
    <row r="46">
      <c r="B46" s="7">
        <f>IF(37&lt;=$H$4,37,"")</f>
        <v/>
      </c>
      <c r="C46" s="14">
        <f>IF(B46="","",EDATE($D$7,37-1))</f>
        <v/>
      </c>
      <c r="D46" s="11">
        <f>IF(B46="","",$H$5)</f>
        <v/>
      </c>
      <c r="E46" s="11">
        <f>IF(B46="","",G45*$D$5/12)</f>
        <v/>
      </c>
      <c r="F46" s="11">
        <f>IF(B46="","",D46-E46)</f>
        <v/>
      </c>
      <c r="G46" s="11">
        <f>IF(B46="","",G45-F46)</f>
        <v/>
      </c>
    </row>
    <row r="47">
      <c r="B47" s="7">
        <f>IF(38&lt;=$H$4,38,"")</f>
        <v/>
      </c>
      <c r="C47" s="14">
        <f>IF(B47="","",EDATE($D$7,38-1))</f>
        <v/>
      </c>
      <c r="D47" s="11">
        <f>IF(B47="","",$H$5)</f>
        <v/>
      </c>
      <c r="E47" s="11">
        <f>IF(B47="","",G46*$D$5/12)</f>
        <v/>
      </c>
      <c r="F47" s="11">
        <f>IF(B47="","",D47-E47)</f>
        <v/>
      </c>
      <c r="G47" s="11">
        <f>IF(B47="","",G46-F47)</f>
        <v/>
      </c>
    </row>
    <row r="48">
      <c r="B48" s="7">
        <f>IF(39&lt;=$H$4,39,"")</f>
        <v/>
      </c>
      <c r="C48" s="14">
        <f>IF(B48="","",EDATE($D$7,39-1))</f>
        <v/>
      </c>
      <c r="D48" s="11">
        <f>IF(B48="","",$H$5)</f>
        <v/>
      </c>
      <c r="E48" s="11">
        <f>IF(B48="","",G47*$D$5/12)</f>
        <v/>
      </c>
      <c r="F48" s="11">
        <f>IF(B48="","",D48-E48)</f>
        <v/>
      </c>
      <c r="G48" s="11">
        <f>IF(B48="","",G47-F48)</f>
        <v/>
      </c>
    </row>
    <row r="49">
      <c r="B49" s="7">
        <f>IF(40&lt;=$H$4,40,"")</f>
        <v/>
      </c>
      <c r="C49" s="14">
        <f>IF(B49="","",EDATE($D$7,40-1))</f>
        <v/>
      </c>
      <c r="D49" s="11">
        <f>IF(B49="","",$H$5)</f>
        <v/>
      </c>
      <c r="E49" s="11">
        <f>IF(B49="","",G48*$D$5/12)</f>
        <v/>
      </c>
      <c r="F49" s="11">
        <f>IF(B49="","",D49-E49)</f>
        <v/>
      </c>
      <c r="G49" s="11">
        <f>IF(B49="","",G48-F49)</f>
        <v/>
      </c>
    </row>
    <row r="50">
      <c r="B50" s="7">
        <f>IF(41&lt;=$H$4,41,"")</f>
        <v/>
      </c>
      <c r="C50" s="14">
        <f>IF(B50="","",EDATE($D$7,41-1))</f>
        <v/>
      </c>
      <c r="D50" s="11">
        <f>IF(B50="","",$H$5)</f>
        <v/>
      </c>
      <c r="E50" s="11">
        <f>IF(B50="","",G49*$D$5/12)</f>
        <v/>
      </c>
      <c r="F50" s="11">
        <f>IF(B50="","",D50-E50)</f>
        <v/>
      </c>
      <c r="G50" s="11">
        <f>IF(B50="","",G49-F50)</f>
        <v/>
      </c>
    </row>
    <row r="51">
      <c r="B51" s="7">
        <f>IF(42&lt;=$H$4,42,"")</f>
        <v/>
      </c>
      <c r="C51" s="14">
        <f>IF(B51="","",EDATE($D$7,42-1))</f>
        <v/>
      </c>
      <c r="D51" s="11">
        <f>IF(B51="","",$H$5)</f>
        <v/>
      </c>
      <c r="E51" s="11">
        <f>IF(B51="","",G50*$D$5/12)</f>
        <v/>
      </c>
      <c r="F51" s="11">
        <f>IF(B51="","",D51-E51)</f>
        <v/>
      </c>
      <c r="G51" s="11">
        <f>IF(B51="","",G50-F51)</f>
        <v/>
      </c>
    </row>
    <row r="52">
      <c r="B52" s="7">
        <f>IF(43&lt;=$H$4,43,"")</f>
        <v/>
      </c>
      <c r="C52" s="14">
        <f>IF(B52="","",EDATE($D$7,43-1))</f>
        <v/>
      </c>
      <c r="D52" s="11">
        <f>IF(B52="","",$H$5)</f>
        <v/>
      </c>
      <c r="E52" s="11">
        <f>IF(B52="","",G51*$D$5/12)</f>
        <v/>
      </c>
      <c r="F52" s="11">
        <f>IF(B52="","",D52-E52)</f>
        <v/>
      </c>
      <c r="G52" s="11">
        <f>IF(B52="","",G51-F52)</f>
        <v/>
      </c>
    </row>
    <row r="53">
      <c r="B53" s="7">
        <f>IF(44&lt;=$H$4,44,"")</f>
        <v/>
      </c>
      <c r="C53" s="14">
        <f>IF(B53="","",EDATE($D$7,44-1))</f>
        <v/>
      </c>
      <c r="D53" s="11">
        <f>IF(B53="","",$H$5)</f>
        <v/>
      </c>
      <c r="E53" s="11">
        <f>IF(B53="","",G52*$D$5/12)</f>
        <v/>
      </c>
      <c r="F53" s="11">
        <f>IF(B53="","",D53-E53)</f>
        <v/>
      </c>
      <c r="G53" s="11">
        <f>IF(B53="","",G52-F53)</f>
        <v/>
      </c>
    </row>
    <row r="54">
      <c r="B54" s="7">
        <f>IF(45&lt;=$H$4,45,"")</f>
        <v/>
      </c>
      <c r="C54" s="14">
        <f>IF(B54="","",EDATE($D$7,45-1))</f>
        <v/>
      </c>
      <c r="D54" s="11">
        <f>IF(B54="","",$H$5)</f>
        <v/>
      </c>
      <c r="E54" s="11">
        <f>IF(B54="","",G53*$D$5/12)</f>
        <v/>
      </c>
      <c r="F54" s="11">
        <f>IF(B54="","",D54-E54)</f>
        <v/>
      </c>
      <c r="G54" s="11">
        <f>IF(B54="","",G53-F54)</f>
        <v/>
      </c>
    </row>
    <row r="55">
      <c r="B55" s="7">
        <f>IF(46&lt;=$H$4,46,"")</f>
        <v/>
      </c>
      <c r="C55" s="14">
        <f>IF(B55="","",EDATE($D$7,46-1))</f>
        <v/>
      </c>
      <c r="D55" s="11">
        <f>IF(B55="","",$H$5)</f>
        <v/>
      </c>
      <c r="E55" s="11">
        <f>IF(B55="","",G54*$D$5/12)</f>
        <v/>
      </c>
      <c r="F55" s="11">
        <f>IF(B55="","",D55-E55)</f>
        <v/>
      </c>
      <c r="G55" s="11">
        <f>IF(B55="","",G54-F55)</f>
        <v/>
      </c>
    </row>
    <row r="56">
      <c r="B56" s="7">
        <f>IF(47&lt;=$H$4,47,"")</f>
        <v/>
      </c>
      <c r="C56" s="14">
        <f>IF(B56="","",EDATE($D$7,47-1))</f>
        <v/>
      </c>
      <c r="D56" s="11">
        <f>IF(B56="","",$H$5)</f>
        <v/>
      </c>
      <c r="E56" s="11">
        <f>IF(B56="","",G55*$D$5/12)</f>
        <v/>
      </c>
      <c r="F56" s="11">
        <f>IF(B56="","",D56-E56)</f>
        <v/>
      </c>
      <c r="G56" s="11">
        <f>IF(B56="","",G55-F56)</f>
        <v/>
      </c>
    </row>
    <row r="57">
      <c r="B57" s="7">
        <f>IF(48&lt;=$H$4,48,"")</f>
        <v/>
      </c>
      <c r="C57" s="14">
        <f>IF(B57="","",EDATE($D$7,48-1))</f>
        <v/>
      </c>
      <c r="D57" s="11">
        <f>IF(B57="","",$H$5)</f>
        <v/>
      </c>
      <c r="E57" s="11">
        <f>IF(B57="","",G56*$D$5/12)</f>
        <v/>
      </c>
      <c r="F57" s="11">
        <f>IF(B57="","",D57-E57)</f>
        <v/>
      </c>
      <c r="G57" s="11">
        <f>IF(B57="","",G56-F57)</f>
        <v/>
      </c>
    </row>
    <row r="58">
      <c r="B58" s="7">
        <f>IF(49&lt;=$H$4,49,"")</f>
        <v/>
      </c>
      <c r="C58" s="14">
        <f>IF(B58="","",EDATE($D$7,49-1))</f>
        <v/>
      </c>
      <c r="D58" s="11">
        <f>IF(B58="","",$H$5)</f>
        <v/>
      </c>
      <c r="E58" s="11">
        <f>IF(B58="","",G57*$D$5/12)</f>
        <v/>
      </c>
      <c r="F58" s="11">
        <f>IF(B58="","",D58-E58)</f>
        <v/>
      </c>
      <c r="G58" s="11">
        <f>IF(B58="","",G57-F58)</f>
        <v/>
      </c>
    </row>
    <row r="59">
      <c r="B59" s="7">
        <f>IF(50&lt;=$H$4,50,"")</f>
        <v/>
      </c>
      <c r="C59" s="14">
        <f>IF(B59="","",EDATE($D$7,50-1))</f>
        <v/>
      </c>
      <c r="D59" s="11">
        <f>IF(B59="","",$H$5)</f>
        <v/>
      </c>
      <c r="E59" s="11">
        <f>IF(B59="","",G58*$D$5/12)</f>
        <v/>
      </c>
      <c r="F59" s="11">
        <f>IF(B59="","",D59-E59)</f>
        <v/>
      </c>
      <c r="G59" s="11">
        <f>IF(B59="","",G58-F59)</f>
        <v/>
      </c>
    </row>
    <row r="60">
      <c r="B60" s="7">
        <f>IF(51&lt;=$H$4,51,"")</f>
        <v/>
      </c>
      <c r="C60" s="14">
        <f>IF(B60="","",EDATE($D$7,51-1))</f>
        <v/>
      </c>
      <c r="D60" s="11">
        <f>IF(B60="","",$H$5)</f>
        <v/>
      </c>
      <c r="E60" s="11">
        <f>IF(B60="","",G59*$D$5/12)</f>
        <v/>
      </c>
      <c r="F60" s="11">
        <f>IF(B60="","",D60-E60)</f>
        <v/>
      </c>
      <c r="G60" s="11">
        <f>IF(B60="","",G59-F60)</f>
        <v/>
      </c>
    </row>
    <row r="61">
      <c r="B61" s="7">
        <f>IF(52&lt;=$H$4,52,"")</f>
        <v/>
      </c>
      <c r="C61" s="14">
        <f>IF(B61="","",EDATE($D$7,52-1))</f>
        <v/>
      </c>
      <c r="D61" s="11">
        <f>IF(B61="","",$H$5)</f>
        <v/>
      </c>
      <c r="E61" s="11">
        <f>IF(B61="","",G60*$D$5/12)</f>
        <v/>
      </c>
      <c r="F61" s="11">
        <f>IF(B61="","",D61-E61)</f>
        <v/>
      </c>
      <c r="G61" s="11">
        <f>IF(B61="","",G60-F61)</f>
        <v/>
      </c>
    </row>
    <row r="62">
      <c r="B62" s="7">
        <f>IF(53&lt;=$H$4,53,"")</f>
        <v/>
      </c>
      <c r="C62" s="14">
        <f>IF(B62="","",EDATE($D$7,53-1))</f>
        <v/>
      </c>
      <c r="D62" s="11">
        <f>IF(B62="","",$H$5)</f>
        <v/>
      </c>
      <c r="E62" s="11">
        <f>IF(B62="","",G61*$D$5/12)</f>
        <v/>
      </c>
      <c r="F62" s="11">
        <f>IF(B62="","",D62-E62)</f>
        <v/>
      </c>
      <c r="G62" s="11">
        <f>IF(B62="","",G61-F62)</f>
        <v/>
      </c>
    </row>
    <row r="63">
      <c r="B63" s="7">
        <f>IF(54&lt;=$H$4,54,"")</f>
        <v/>
      </c>
      <c r="C63" s="14">
        <f>IF(B63="","",EDATE($D$7,54-1))</f>
        <v/>
      </c>
      <c r="D63" s="11">
        <f>IF(B63="","",$H$5)</f>
        <v/>
      </c>
      <c r="E63" s="11">
        <f>IF(B63="","",G62*$D$5/12)</f>
        <v/>
      </c>
      <c r="F63" s="11">
        <f>IF(B63="","",D63-E63)</f>
        <v/>
      </c>
      <c r="G63" s="11">
        <f>IF(B63="","",G62-F63)</f>
        <v/>
      </c>
    </row>
    <row r="64">
      <c r="B64" s="7">
        <f>IF(55&lt;=$H$4,55,"")</f>
        <v/>
      </c>
      <c r="C64" s="14">
        <f>IF(B64="","",EDATE($D$7,55-1))</f>
        <v/>
      </c>
      <c r="D64" s="11">
        <f>IF(B64="","",$H$5)</f>
        <v/>
      </c>
      <c r="E64" s="11">
        <f>IF(B64="","",G63*$D$5/12)</f>
        <v/>
      </c>
      <c r="F64" s="11">
        <f>IF(B64="","",D64-E64)</f>
        <v/>
      </c>
      <c r="G64" s="11">
        <f>IF(B64="","",G63-F64)</f>
        <v/>
      </c>
    </row>
    <row r="65">
      <c r="B65" s="7">
        <f>IF(56&lt;=$H$4,56,"")</f>
        <v/>
      </c>
      <c r="C65" s="14">
        <f>IF(B65="","",EDATE($D$7,56-1))</f>
        <v/>
      </c>
      <c r="D65" s="11">
        <f>IF(B65="","",$H$5)</f>
        <v/>
      </c>
      <c r="E65" s="11">
        <f>IF(B65="","",G64*$D$5/12)</f>
        <v/>
      </c>
      <c r="F65" s="11">
        <f>IF(B65="","",D65-E65)</f>
        <v/>
      </c>
      <c r="G65" s="11">
        <f>IF(B65="","",G64-F65)</f>
        <v/>
      </c>
    </row>
    <row r="66">
      <c r="B66" s="7">
        <f>IF(57&lt;=$H$4,57,"")</f>
        <v/>
      </c>
      <c r="C66" s="14">
        <f>IF(B66="","",EDATE($D$7,57-1))</f>
        <v/>
      </c>
      <c r="D66" s="11">
        <f>IF(B66="","",$H$5)</f>
        <v/>
      </c>
      <c r="E66" s="11">
        <f>IF(B66="","",G65*$D$5/12)</f>
        <v/>
      </c>
      <c r="F66" s="11">
        <f>IF(B66="","",D66-E66)</f>
        <v/>
      </c>
      <c r="G66" s="11">
        <f>IF(B66="","",G65-F66)</f>
        <v/>
      </c>
    </row>
    <row r="67">
      <c r="B67" s="7">
        <f>IF(58&lt;=$H$4,58,"")</f>
        <v/>
      </c>
      <c r="C67" s="14">
        <f>IF(B67="","",EDATE($D$7,58-1))</f>
        <v/>
      </c>
      <c r="D67" s="11">
        <f>IF(B67="","",$H$5)</f>
        <v/>
      </c>
      <c r="E67" s="11">
        <f>IF(B67="","",G66*$D$5/12)</f>
        <v/>
      </c>
      <c r="F67" s="11">
        <f>IF(B67="","",D67-E67)</f>
        <v/>
      </c>
      <c r="G67" s="11">
        <f>IF(B67="","",G66-F67)</f>
        <v/>
      </c>
    </row>
    <row r="68">
      <c r="B68" s="7">
        <f>IF(59&lt;=$H$4,59,"")</f>
        <v/>
      </c>
      <c r="C68" s="14">
        <f>IF(B68="","",EDATE($D$7,59-1))</f>
        <v/>
      </c>
      <c r="D68" s="11">
        <f>IF(B68="","",$H$5)</f>
        <v/>
      </c>
      <c r="E68" s="11">
        <f>IF(B68="","",G67*$D$5/12)</f>
        <v/>
      </c>
      <c r="F68" s="11">
        <f>IF(B68="","",D68-E68)</f>
        <v/>
      </c>
      <c r="G68" s="11">
        <f>IF(B68="","",G67-F68)</f>
        <v/>
      </c>
    </row>
    <row r="69">
      <c r="B69" s="7">
        <f>IF(60&lt;=$H$4,60,"")</f>
        <v/>
      </c>
      <c r="C69" s="14">
        <f>IF(B69="","",EDATE($D$7,60-1))</f>
        <v/>
      </c>
      <c r="D69" s="11">
        <f>IF(B69="","",$H$5)</f>
        <v/>
      </c>
      <c r="E69" s="11">
        <f>IF(B69="","",G68*$D$5/12)</f>
        <v/>
      </c>
      <c r="F69" s="11">
        <f>IF(B69="","",D69-E69)</f>
        <v/>
      </c>
      <c r="G69" s="11">
        <f>IF(B69="","",G68-F69)</f>
        <v/>
      </c>
    </row>
    <row r="70">
      <c r="B70" s="7">
        <f>IF(61&lt;=$H$4,61,"")</f>
        <v/>
      </c>
      <c r="C70" s="14">
        <f>IF(B70="","",EDATE($D$7,61-1))</f>
        <v/>
      </c>
      <c r="D70" s="11">
        <f>IF(B70="","",$H$5)</f>
        <v/>
      </c>
      <c r="E70" s="11">
        <f>IF(B70="","",G69*$D$5/12)</f>
        <v/>
      </c>
      <c r="F70" s="11">
        <f>IF(B70="","",D70-E70)</f>
        <v/>
      </c>
      <c r="G70" s="11">
        <f>IF(B70="","",G69-F70)</f>
        <v/>
      </c>
    </row>
    <row r="71">
      <c r="B71" s="7">
        <f>IF(62&lt;=$H$4,62,"")</f>
        <v/>
      </c>
      <c r="C71" s="14">
        <f>IF(B71="","",EDATE($D$7,62-1))</f>
        <v/>
      </c>
      <c r="D71" s="11">
        <f>IF(B71="","",$H$5)</f>
        <v/>
      </c>
      <c r="E71" s="11">
        <f>IF(B71="","",G70*$D$5/12)</f>
        <v/>
      </c>
      <c r="F71" s="11">
        <f>IF(B71="","",D71-E71)</f>
        <v/>
      </c>
      <c r="G71" s="11">
        <f>IF(B71="","",G70-F71)</f>
        <v/>
      </c>
    </row>
    <row r="72">
      <c r="B72" s="7">
        <f>IF(63&lt;=$H$4,63,"")</f>
        <v/>
      </c>
      <c r="C72" s="14">
        <f>IF(B72="","",EDATE($D$7,63-1))</f>
        <v/>
      </c>
      <c r="D72" s="11">
        <f>IF(B72="","",$H$5)</f>
        <v/>
      </c>
      <c r="E72" s="11">
        <f>IF(B72="","",G71*$D$5/12)</f>
        <v/>
      </c>
      <c r="F72" s="11">
        <f>IF(B72="","",D72-E72)</f>
        <v/>
      </c>
      <c r="G72" s="11">
        <f>IF(B72="","",G71-F72)</f>
        <v/>
      </c>
    </row>
    <row r="73">
      <c r="B73" s="7">
        <f>IF(64&lt;=$H$4,64,"")</f>
        <v/>
      </c>
      <c r="C73" s="14">
        <f>IF(B73="","",EDATE($D$7,64-1))</f>
        <v/>
      </c>
      <c r="D73" s="11">
        <f>IF(B73="","",$H$5)</f>
        <v/>
      </c>
      <c r="E73" s="11">
        <f>IF(B73="","",G72*$D$5/12)</f>
        <v/>
      </c>
      <c r="F73" s="11">
        <f>IF(B73="","",D73-E73)</f>
        <v/>
      </c>
      <c r="G73" s="11">
        <f>IF(B73="","",G72-F73)</f>
        <v/>
      </c>
    </row>
    <row r="74">
      <c r="B74" s="7">
        <f>IF(65&lt;=$H$4,65,"")</f>
        <v/>
      </c>
      <c r="C74" s="14">
        <f>IF(B74="","",EDATE($D$7,65-1))</f>
        <v/>
      </c>
      <c r="D74" s="11">
        <f>IF(B74="","",$H$5)</f>
        <v/>
      </c>
      <c r="E74" s="11">
        <f>IF(B74="","",G73*$D$5/12)</f>
        <v/>
      </c>
      <c r="F74" s="11">
        <f>IF(B74="","",D74-E74)</f>
        <v/>
      </c>
      <c r="G74" s="11">
        <f>IF(B74="","",G73-F74)</f>
        <v/>
      </c>
    </row>
    <row r="75">
      <c r="B75" s="7">
        <f>IF(66&lt;=$H$4,66,"")</f>
        <v/>
      </c>
      <c r="C75" s="14">
        <f>IF(B75="","",EDATE($D$7,66-1))</f>
        <v/>
      </c>
      <c r="D75" s="11">
        <f>IF(B75="","",$H$5)</f>
        <v/>
      </c>
      <c r="E75" s="11">
        <f>IF(B75="","",G74*$D$5/12)</f>
        <v/>
      </c>
      <c r="F75" s="11">
        <f>IF(B75="","",D75-E75)</f>
        <v/>
      </c>
      <c r="G75" s="11">
        <f>IF(B75="","",G74-F75)</f>
        <v/>
      </c>
    </row>
    <row r="76">
      <c r="B76" s="7">
        <f>IF(67&lt;=$H$4,67,"")</f>
        <v/>
      </c>
      <c r="C76" s="14">
        <f>IF(B76="","",EDATE($D$7,67-1))</f>
        <v/>
      </c>
      <c r="D76" s="11">
        <f>IF(B76="","",$H$5)</f>
        <v/>
      </c>
      <c r="E76" s="11">
        <f>IF(B76="","",G75*$D$5/12)</f>
        <v/>
      </c>
      <c r="F76" s="11">
        <f>IF(B76="","",D76-E76)</f>
        <v/>
      </c>
      <c r="G76" s="11">
        <f>IF(B76="","",G75-F76)</f>
        <v/>
      </c>
    </row>
    <row r="77">
      <c r="B77" s="7">
        <f>IF(68&lt;=$H$4,68,"")</f>
        <v/>
      </c>
      <c r="C77" s="14">
        <f>IF(B77="","",EDATE($D$7,68-1))</f>
        <v/>
      </c>
      <c r="D77" s="11">
        <f>IF(B77="","",$H$5)</f>
        <v/>
      </c>
      <c r="E77" s="11">
        <f>IF(B77="","",G76*$D$5/12)</f>
        <v/>
      </c>
      <c r="F77" s="11">
        <f>IF(B77="","",D77-E77)</f>
        <v/>
      </c>
      <c r="G77" s="11">
        <f>IF(B77="","",G76-F77)</f>
        <v/>
      </c>
    </row>
    <row r="78">
      <c r="B78" s="7">
        <f>IF(69&lt;=$H$4,69,"")</f>
        <v/>
      </c>
      <c r="C78" s="14">
        <f>IF(B78="","",EDATE($D$7,69-1))</f>
        <v/>
      </c>
      <c r="D78" s="11">
        <f>IF(B78="","",$H$5)</f>
        <v/>
      </c>
      <c r="E78" s="11">
        <f>IF(B78="","",G77*$D$5/12)</f>
        <v/>
      </c>
      <c r="F78" s="11">
        <f>IF(B78="","",D78-E78)</f>
        <v/>
      </c>
      <c r="G78" s="11">
        <f>IF(B78="","",G77-F78)</f>
        <v/>
      </c>
    </row>
    <row r="79">
      <c r="B79" s="7">
        <f>IF(70&lt;=$H$4,70,"")</f>
        <v/>
      </c>
      <c r="C79" s="14">
        <f>IF(B79="","",EDATE($D$7,70-1))</f>
        <v/>
      </c>
      <c r="D79" s="11">
        <f>IF(B79="","",$H$5)</f>
        <v/>
      </c>
      <c r="E79" s="11">
        <f>IF(B79="","",G78*$D$5/12)</f>
        <v/>
      </c>
      <c r="F79" s="11">
        <f>IF(B79="","",D79-E79)</f>
        <v/>
      </c>
      <c r="G79" s="11">
        <f>IF(B79="","",G78-F79)</f>
        <v/>
      </c>
    </row>
    <row r="80">
      <c r="B80" s="7">
        <f>IF(71&lt;=$H$4,71,"")</f>
        <v/>
      </c>
      <c r="C80" s="14">
        <f>IF(B80="","",EDATE($D$7,71-1))</f>
        <v/>
      </c>
      <c r="D80" s="11">
        <f>IF(B80="","",$H$5)</f>
        <v/>
      </c>
      <c r="E80" s="11">
        <f>IF(B80="","",G79*$D$5/12)</f>
        <v/>
      </c>
      <c r="F80" s="11">
        <f>IF(B80="","",D80-E80)</f>
        <v/>
      </c>
      <c r="G80" s="11">
        <f>IF(B80="","",G79-F80)</f>
        <v/>
      </c>
    </row>
    <row r="81">
      <c r="B81" s="7">
        <f>IF(72&lt;=$H$4,72,"")</f>
        <v/>
      </c>
      <c r="C81" s="14">
        <f>IF(B81="","",EDATE($D$7,72-1))</f>
        <v/>
      </c>
      <c r="D81" s="11">
        <f>IF(B81="","",$H$5)</f>
        <v/>
      </c>
      <c r="E81" s="11">
        <f>IF(B81="","",G80*$D$5/12)</f>
        <v/>
      </c>
      <c r="F81" s="11">
        <f>IF(B81="","",D81-E81)</f>
        <v/>
      </c>
      <c r="G81" s="11">
        <f>IF(B81="","",G80-F81)</f>
        <v/>
      </c>
    </row>
    <row r="82">
      <c r="B82" s="7">
        <f>IF(73&lt;=$H$4,73,"")</f>
        <v/>
      </c>
      <c r="C82" s="14">
        <f>IF(B82="","",EDATE($D$7,73-1))</f>
        <v/>
      </c>
      <c r="D82" s="11">
        <f>IF(B82="","",$H$5)</f>
        <v/>
      </c>
      <c r="E82" s="11">
        <f>IF(B82="","",G81*$D$5/12)</f>
        <v/>
      </c>
      <c r="F82" s="11">
        <f>IF(B82="","",D82-E82)</f>
        <v/>
      </c>
      <c r="G82" s="11">
        <f>IF(B82="","",G81-F82)</f>
        <v/>
      </c>
    </row>
    <row r="83">
      <c r="B83" s="7">
        <f>IF(74&lt;=$H$4,74,"")</f>
        <v/>
      </c>
      <c r="C83" s="14">
        <f>IF(B83="","",EDATE($D$7,74-1))</f>
        <v/>
      </c>
      <c r="D83" s="11">
        <f>IF(B83="","",$H$5)</f>
        <v/>
      </c>
      <c r="E83" s="11">
        <f>IF(B83="","",G82*$D$5/12)</f>
        <v/>
      </c>
      <c r="F83" s="11">
        <f>IF(B83="","",D83-E83)</f>
        <v/>
      </c>
      <c r="G83" s="11">
        <f>IF(B83="","",G82-F83)</f>
        <v/>
      </c>
    </row>
    <row r="84">
      <c r="B84" s="7">
        <f>IF(75&lt;=$H$4,75,"")</f>
        <v/>
      </c>
      <c r="C84" s="14">
        <f>IF(B84="","",EDATE($D$7,75-1))</f>
        <v/>
      </c>
      <c r="D84" s="11">
        <f>IF(B84="","",$H$5)</f>
        <v/>
      </c>
      <c r="E84" s="11">
        <f>IF(B84="","",G83*$D$5/12)</f>
        <v/>
      </c>
      <c r="F84" s="11">
        <f>IF(B84="","",D84-E84)</f>
        <v/>
      </c>
      <c r="G84" s="11">
        <f>IF(B84="","",G83-F84)</f>
        <v/>
      </c>
    </row>
    <row r="85">
      <c r="B85" s="7">
        <f>IF(76&lt;=$H$4,76,"")</f>
        <v/>
      </c>
      <c r="C85" s="14">
        <f>IF(B85="","",EDATE($D$7,76-1))</f>
        <v/>
      </c>
      <c r="D85" s="11">
        <f>IF(B85="","",$H$5)</f>
        <v/>
      </c>
      <c r="E85" s="11">
        <f>IF(B85="","",G84*$D$5/12)</f>
        <v/>
      </c>
      <c r="F85" s="11">
        <f>IF(B85="","",D85-E85)</f>
        <v/>
      </c>
      <c r="G85" s="11">
        <f>IF(B85="","",G84-F85)</f>
        <v/>
      </c>
    </row>
    <row r="86">
      <c r="B86" s="7">
        <f>IF(77&lt;=$H$4,77,"")</f>
        <v/>
      </c>
      <c r="C86" s="14">
        <f>IF(B86="","",EDATE($D$7,77-1))</f>
        <v/>
      </c>
      <c r="D86" s="11">
        <f>IF(B86="","",$H$5)</f>
        <v/>
      </c>
      <c r="E86" s="11">
        <f>IF(B86="","",G85*$D$5/12)</f>
        <v/>
      </c>
      <c r="F86" s="11">
        <f>IF(B86="","",D86-E86)</f>
        <v/>
      </c>
      <c r="G86" s="11">
        <f>IF(B86="","",G85-F86)</f>
        <v/>
      </c>
    </row>
    <row r="87">
      <c r="B87" s="7">
        <f>IF(78&lt;=$H$4,78,"")</f>
        <v/>
      </c>
      <c r="C87" s="14">
        <f>IF(B87="","",EDATE($D$7,78-1))</f>
        <v/>
      </c>
      <c r="D87" s="11">
        <f>IF(B87="","",$H$5)</f>
        <v/>
      </c>
      <c r="E87" s="11">
        <f>IF(B87="","",G86*$D$5/12)</f>
        <v/>
      </c>
      <c r="F87" s="11">
        <f>IF(B87="","",D87-E87)</f>
        <v/>
      </c>
      <c r="G87" s="11">
        <f>IF(B87="","",G86-F87)</f>
        <v/>
      </c>
    </row>
    <row r="88">
      <c r="B88" s="7">
        <f>IF(79&lt;=$H$4,79,"")</f>
        <v/>
      </c>
      <c r="C88" s="14">
        <f>IF(B88="","",EDATE($D$7,79-1))</f>
        <v/>
      </c>
      <c r="D88" s="11">
        <f>IF(B88="","",$H$5)</f>
        <v/>
      </c>
      <c r="E88" s="11">
        <f>IF(B88="","",G87*$D$5/12)</f>
        <v/>
      </c>
      <c r="F88" s="11">
        <f>IF(B88="","",D88-E88)</f>
        <v/>
      </c>
      <c r="G88" s="11">
        <f>IF(B88="","",G87-F88)</f>
        <v/>
      </c>
    </row>
    <row r="89">
      <c r="B89" s="7">
        <f>IF(80&lt;=$H$4,80,"")</f>
        <v/>
      </c>
      <c r="C89" s="14">
        <f>IF(B89="","",EDATE($D$7,80-1))</f>
        <v/>
      </c>
      <c r="D89" s="11">
        <f>IF(B89="","",$H$5)</f>
        <v/>
      </c>
      <c r="E89" s="11">
        <f>IF(B89="","",G88*$D$5/12)</f>
        <v/>
      </c>
      <c r="F89" s="11">
        <f>IF(B89="","",D89-E89)</f>
        <v/>
      </c>
      <c r="G89" s="11">
        <f>IF(B89="","",G88-F89)</f>
        <v/>
      </c>
    </row>
    <row r="90">
      <c r="B90" s="7">
        <f>IF(81&lt;=$H$4,81,"")</f>
        <v/>
      </c>
      <c r="C90" s="14">
        <f>IF(B90="","",EDATE($D$7,81-1))</f>
        <v/>
      </c>
      <c r="D90" s="11">
        <f>IF(B90="","",$H$5)</f>
        <v/>
      </c>
      <c r="E90" s="11">
        <f>IF(B90="","",G89*$D$5/12)</f>
        <v/>
      </c>
      <c r="F90" s="11">
        <f>IF(B90="","",D90-E90)</f>
        <v/>
      </c>
      <c r="G90" s="11">
        <f>IF(B90="","",G89-F90)</f>
        <v/>
      </c>
    </row>
    <row r="91">
      <c r="B91" s="7">
        <f>IF(82&lt;=$H$4,82,"")</f>
        <v/>
      </c>
      <c r="C91" s="14">
        <f>IF(B91="","",EDATE($D$7,82-1))</f>
        <v/>
      </c>
      <c r="D91" s="11">
        <f>IF(B91="","",$H$5)</f>
        <v/>
      </c>
      <c r="E91" s="11">
        <f>IF(B91="","",G90*$D$5/12)</f>
        <v/>
      </c>
      <c r="F91" s="11">
        <f>IF(B91="","",D91-E91)</f>
        <v/>
      </c>
      <c r="G91" s="11">
        <f>IF(B91="","",G90-F91)</f>
        <v/>
      </c>
    </row>
    <row r="92">
      <c r="B92" s="7">
        <f>IF(83&lt;=$H$4,83,"")</f>
        <v/>
      </c>
      <c r="C92" s="14">
        <f>IF(B92="","",EDATE($D$7,83-1))</f>
        <v/>
      </c>
      <c r="D92" s="11">
        <f>IF(B92="","",$H$5)</f>
        <v/>
      </c>
      <c r="E92" s="11">
        <f>IF(B92="","",G91*$D$5/12)</f>
        <v/>
      </c>
      <c r="F92" s="11">
        <f>IF(B92="","",D92-E92)</f>
        <v/>
      </c>
      <c r="G92" s="11">
        <f>IF(B92="","",G91-F92)</f>
        <v/>
      </c>
    </row>
    <row r="93">
      <c r="B93" s="7">
        <f>IF(84&lt;=$H$4,84,"")</f>
        <v/>
      </c>
      <c r="C93" s="14">
        <f>IF(B93="","",EDATE($D$7,84-1))</f>
        <v/>
      </c>
      <c r="D93" s="11">
        <f>IF(B93="","",$H$5)</f>
        <v/>
      </c>
      <c r="E93" s="11">
        <f>IF(B93="","",G92*$D$5/12)</f>
        <v/>
      </c>
      <c r="F93" s="11">
        <f>IF(B93="","",D93-E93)</f>
        <v/>
      </c>
      <c r="G93" s="11">
        <f>IF(B93="","",G92-F93)</f>
        <v/>
      </c>
    </row>
    <row r="94">
      <c r="B94" s="7">
        <f>IF(85&lt;=$H$4,85,"")</f>
        <v/>
      </c>
      <c r="C94" s="14">
        <f>IF(B94="","",EDATE($D$7,85-1))</f>
        <v/>
      </c>
      <c r="D94" s="11">
        <f>IF(B94="","",$H$5)</f>
        <v/>
      </c>
      <c r="E94" s="11">
        <f>IF(B94="","",G93*$D$5/12)</f>
        <v/>
      </c>
      <c r="F94" s="11">
        <f>IF(B94="","",D94-E94)</f>
        <v/>
      </c>
      <c r="G94" s="11">
        <f>IF(B94="","",G93-F94)</f>
        <v/>
      </c>
    </row>
    <row r="95">
      <c r="B95" s="7">
        <f>IF(86&lt;=$H$4,86,"")</f>
        <v/>
      </c>
      <c r="C95" s="14">
        <f>IF(B95="","",EDATE($D$7,86-1))</f>
        <v/>
      </c>
      <c r="D95" s="11">
        <f>IF(B95="","",$H$5)</f>
        <v/>
      </c>
      <c r="E95" s="11">
        <f>IF(B95="","",G94*$D$5/12)</f>
        <v/>
      </c>
      <c r="F95" s="11">
        <f>IF(B95="","",D95-E95)</f>
        <v/>
      </c>
      <c r="G95" s="11">
        <f>IF(B95="","",G94-F95)</f>
        <v/>
      </c>
    </row>
    <row r="96">
      <c r="B96" s="7">
        <f>IF(87&lt;=$H$4,87,"")</f>
        <v/>
      </c>
      <c r="C96" s="14">
        <f>IF(B96="","",EDATE($D$7,87-1))</f>
        <v/>
      </c>
      <c r="D96" s="11">
        <f>IF(B96="","",$H$5)</f>
        <v/>
      </c>
      <c r="E96" s="11">
        <f>IF(B96="","",G95*$D$5/12)</f>
        <v/>
      </c>
      <c r="F96" s="11">
        <f>IF(B96="","",D96-E96)</f>
        <v/>
      </c>
      <c r="G96" s="11">
        <f>IF(B96="","",G95-F96)</f>
        <v/>
      </c>
    </row>
    <row r="97">
      <c r="B97" s="7">
        <f>IF(88&lt;=$H$4,88,"")</f>
        <v/>
      </c>
      <c r="C97" s="14">
        <f>IF(B97="","",EDATE($D$7,88-1))</f>
        <v/>
      </c>
      <c r="D97" s="11">
        <f>IF(B97="","",$H$5)</f>
        <v/>
      </c>
      <c r="E97" s="11">
        <f>IF(B97="","",G96*$D$5/12)</f>
        <v/>
      </c>
      <c r="F97" s="11">
        <f>IF(B97="","",D97-E97)</f>
        <v/>
      </c>
      <c r="G97" s="11">
        <f>IF(B97="","",G96-F97)</f>
        <v/>
      </c>
    </row>
    <row r="98">
      <c r="B98" s="7">
        <f>IF(89&lt;=$H$4,89,"")</f>
        <v/>
      </c>
      <c r="C98" s="14">
        <f>IF(B98="","",EDATE($D$7,89-1))</f>
        <v/>
      </c>
      <c r="D98" s="11">
        <f>IF(B98="","",$H$5)</f>
        <v/>
      </c>
      <c r="E98" s="11">
        <f>IF(B98="","",G97*$D$5/12)</f>
        <v/>
      </c>
      <c r="F98" s="11">
        <f>IF(B98="","",D98-E98)</f>
        <v/>
      </c>
      <c r="G98" s="11">
        <f>IF(B98="","",G97-F98)</f>
        <v/>
      </c>
    </row>
    <row r="99">
      <c r="B99" s="7">
        <f>IF(90&lt;=$H$4,90,"")</f>
        <v/>
      </c>
      <c r="C99" s="14">
        <f>IF(B99="","",EDATE($D$7,90-1))</f>
        <v/>
      </c>
      <c r="D99" s="11">
        <f>IF(B99="","",$H$5)</f>
        <v/>
      </c>
      <c r="E99" s="11">
        <f>IF(B99="","",G98*$D$5/12)</f>
        <v/>
      </c>
      <c r="F99" s="11">
        <f>IF(B99="","",D99-E99)</f>
        <v/>
      </c>
      <c r="G99" s="11">
        <f>IF(B99="","",G98-F99)</f>
        <v/>
      </c>
    </row>
    <row r="100">
      <c r="B100" s="7">
        <f>IF(91&lt;=$H$4,91,"")</f>
        <v/>
      </c>
      <c r="C100" s="14">
        <f>IF(B100="","",EDATE($D$7,91-1))</f>
        <v/>
      </c>
      <c r="D100" s="11">
        <f>IF(B100="","",$H$5)</f>
        <v/>
      </c>
      <c r="E100" s="11">
        <f>IF(B100="","",G99*$D$5/12)</f>
        <v/>
      </c>
      <c r="F100" s="11">
        <f>IF(B100="","",D100-E100)</f>
        <v/>
      </c>
      <c r="G100" s="11">
        <f>IF(B100="","",G99-F100)</f>
        <v/>
      </c>
    </row>
    <row r="101">
      <c r="B101" s="7">
        <f>IF(92&lt;=$H$4,92,"")</f>
        <v/>
      </c>
      <c r="C101" s="14">
        <f>IF(B101="","",EDATE($D$7,92-1))</f>
        <v/>
      </c>
      <c r="D101" s="11">
        <f>IF(B101="","",$H$5)</f>
        <v/>
      </c>
      <c r="E101" s="11">
        <f>IF(B101="","",G100*$D$5/12)</f>
        <v/>
      </c>
      <c r="F101" s="11">
        <f>IF(B101="","",D101-E101)</f>
        <v/>
      </c>
      <c r="G101" s="11">
        <f>IF(B101="","",G100-F101)</f>
        <v/>
      </c>
    </row>
    <row r="102">
      <c r="B102" s="7">
        <f>IF(93&lt;=$H$4,93,"")</f>
        <v/>
      </c>
      <c r="C102" s="14">
        <f>IF(B102="","",EDATE($D$7,93-1))</f>
        <v/>
      </c>
      <c r="D102" s="11">
        <f>IF(B102="","",$H$5)</f>
        <v/>
      </c>
      <c r="E102" s="11">
        <f>IF(B102="","",G101*$D$5/12)</f>
        <v/>
      </c>
      <c r="F102" s="11">
        <f>IF(B102="","",D102-E102)</f>
        <v/>
      </c>
      <c r="G102" s="11">
        <f>IF(B102="","",G101-F102)</f>
        <v/>
      </c>
    </row>
    <row r="103">
      <c r="B103" s="7">
        <f>IF(94&lt;=$H$4,94,"")</f>
        <v/>
      </c>
      <c r="C103" s="14">
        <f>IF(B103="","",EDATE($D$7,94-1))</f>
        <v/>
      </c>
      <c r="D103" s="11">
        <f>IF(B103="","",$H$5)</f>
        <v/>
      </c>
      <c r="E103" s="11">
        <f>IF(B103="","",G102*$D$5/12)</f>
        <v/>
      </c>
      <c r="F103" s="11">
        <f>IF(B103="","",D103-E103)</f>
        <v/>
      </c>
      <c r="G103" s="11">
        <f>IF(B103="","",G102-F103)</f>
        <v/>
      </c>
    </row>
    <row r="104">
      <c r="B104" s="7">
        <f>IF(95&lt;=$H$4,95,"")</f>
        <v/>
      </c>
      <c r="C104" s="14">
        <f>IF(B104="","",EDATE($D$7,95-1))</f>
        <v/>
      </c>
      <c r="D104" s="11">
        <f>IF(B104="","",$H$5)</f>
        <v/>
      </c>
      <c r="E104" s="11">
        <f>IF(B104="","",G103*$D$5/12)</f>
        <v/>
      </c>
      <c r="F104" s="11">
        <f>IF(B104="","",D104-E104)</f>
        <v/>
      </c>
      <c r="G104" s="11">
        <f>IF(B104="","",G103-F104)</f>
        <v/>
      </c>
    </row>
    <row r="105">
      <c r="B105" s="7">
        <f>IF(96&lt;=$H$4,96,"")</f>
        <v/>
      </c>
      <c r="C105" s="14">
        <f>IF(B105="","",EDATE($D$7,96-1))</f>
        <v/>
      </c>
      <c r="D105" s="11">
        <f>IF(B105="","",$H$5)</f>
        <v/>
      </c>
      <c r="E105" s="11">
        <f>IF(B105="","",G104*$D$5/12)</f>
        <v/>
      </c>
      <c r="F105" s="11">
        <f>IF(B105="","",D105-E105)</f>
        <v/>
      </c>
      <c r="G105" s="11">
        <f>IF(B105="","",G104-F105)</f>
        <v/>
      </c>
    </row>
    <row r="106">
      <c r="B106" s="7">
        <f>IF(97&lt;=$H$4,97,"")</f>
        <v/>
      </c>
      <c r="C106" s="14">
        <f>IF(B106="","",EDATE($D$7,97-1))</f>
        <v/>
      </c>
      <c r="D106" s="11">
        <f>IF(B106="","",$H$5)</f>
        <v/>
      </c>
      <c r="E106" s="11">
        <f>IF(B106="","",G105*$D$5/12)</f>
        <v/>
      </c>
      <c r="F106" s="11">
        <f>IF(B106="","",D106-E106)</f>
        <v/>
      </c>
      <c r="G106" s="11">
        <f>IF(B106="","",G105-F106)</f>
        <v/>
      </c>
    </row>
    <row r="107">
      <c r="B107" s="7">
        <f>IF(98&lt;=$H$4,98,"")</f>
        <v/>
      </c>
      <c r="C107" s="14">
        <f>IF(B107="","",EDATE($D$7,98-1))</f>
        <v/>
      </c>
      <c r="D107" s="11">
        <f>IF(B107="","",$H$5)</f>
        <v/>
      </c>
      <c r="E107" s="11">
        <f>IF(B107="","",G106*$D$5/12)</f>
        <v/>
      </c>
      <c r="F107" s="11">
        <f>IF(B107="","",D107-E107)</f>
        <v/>
      </c>
      <c r="G107" s="11">
        <f>IF(B107="","",G106-F107)</f>
        <v/>
      </c>
    </row>
    <row r="108">
      <c r="B108" s="7">
        <f>IF(99&lt;=$H$4,99,"")</f>
        <v/>
      </c>
      <c r="C108" s="14">
        <f>IF(B108="","",EDATE($D$7,99-1))</f>
        <v/>
      </c>
      <c r="D108" s="11">
        <f>IF(B108="","",$H$5)</f>
        <v/>
      </c>
      <c r="E108" s="11">
        <f>IF(B108="","",G107*$D$5/12)</f>
        <v/>
      </c>
      <c r="F108" s="11">
        <f>IF(B108="","",D108-E108)</f>
        <v/>
      </c>
      <c r="G108" s="11">
        <f>IF(B108="","",G107-F108)</f>
        <v/>
      </c>
    </row>
    <row r="109">
      <c r="B109" s="7">
        <f>IF(100&lt;=$H$4,100,"")</f>
        <v/>
      </c>
      <c r="C109" s="14">
        <f>IF(B109="","",EDATE($D$7,100-1))</f>
        <v/>
      </c>
      <c r="D109" s="11">
        <f>IF(B109="","",$H$5)</f>
        <v/>
      </c>
      <c r="E109" s="11">
        <f>IF(B109="","",G108*$D$5/12)</f>
        <v/>
      </c>
      <c r="F109" s="11">
        <f>IF(B109="","",D109-E109)</f>
        <v/>
      </c>
      <c r="G109" s="11">
        <f>IF(B109="","",G108-F109)</f>
        <v/>
      </c>
    </row>
    <row r="110">
      <c r="B110" s="7">
        <f>IF(101&lt;=$H$4,101,"")</f>
        <v/>
      </c>
      <c r="C110" s="14">
        <f>IF(B110="","",EDATE($D$7,101-1))</f>
        <v/>
      </c>
      <c r="D110" s="11">
        <f>IF(B110="","",$H$5)</f>
        <v/>
      </c>
      <c r="E110" s="11">
        <f>IF(B110="","",G109*$D$5/12)</f>
        <v/>
      </c>
      <c r="F110" s="11">
        <f>IF(B110="","",D110-E110)</f>
        <v/>
      </c>
      <c r="G110" s="11">
        <f>IF(B110="","",G109-F110)</f>
        <v/>
      </c>
    </row>
    <row r="111">
      <c r="B111" s="7">
        <f>IF(102&lt;=$H$4,102,"")</f>
        <v/>
      </c>
      <c r="C111" s="14">
        <f>IF(B111="","",EDATE($D$7,102-1))</f>
        <v/>
      </c>
      <c r="D111" s="11">
        <f>IF(B111="","",$H$5)</f>
        <v/>
      </c>
      <c r="E111" s="11">
        <f>IF(B111="","",G110*$D$5/12)</f>
        <v/>
      </c>
      <c r="F111" s="11">
        <f>IF(B111="","",D111-E111)</f>
        <v/>
      </c>
      <c r="G111" s="11">
        <f>IF(B111="","",G110-F111)</f>
        <v/>
      </c>
    </row>
    <row r="112">
      <c r="B112" s="7">
        <f>IF(103&lt;=$H$4,103,"")</f>
        <v/>
      </c>
      <c r="C112" s="14">
        <f>IF(B112="","",EDATE($D$7,103-1))</f>
        <v/>
      </c>
      <c r="D112" s="11">
        <f>IF(B112="","",$H$5)</f>
        <v/>
      </c>
      <c r="E112" s="11">
        <f>IF(B112="","",G111*$D$5/12)</f>
        <v/>
      </c>
      <c r="F112" s="11">
        <f>IF(B112="","",D112-E112)</f>
        <v/>
      </c>
      <c r="G112" s="11">
        <f>IF(B112="","",G111-F112)</f>
        <v/>
      </c>
    </row>
    <row r="113">
      <c r="B113" s="7">
        <f>IF(104&lt;=$H$4,104,"")</f>
        <v/>
      </c>
      <c r="C113" s="14">
        <f>IF(B113="","",EDATE($D$7,104-1))</f>
        <v/>
      </c>
      <c r="D113" s="11">
        <f>IF(B113="","",$H$5)</f>
        <v/>
      </c>
      <c r="E113" s="11">
        <f>IF(B113="","",G112*$D$5/12)</f>
        <v/>
      </c>
      <c r="F113" s="11">
        <f>IF(B113="","",D113-E113)</f>
        <v/>
      </c>
      <c r="G113" s="11">
        <f>IF(B113="","",G112-F113)</f>
        <v/>
      </c>
    </row>
    <row r="114">
      <c r="B114" s="7">
        <f>IF(105&lt;=$H$4,105,"")</f>
        <v/>
      </c>
      <c r="C114" s="14">
        <f>IF(B114="","",EDATE($D$7,105-1))</f>
        <v/>
      </c>
      <c r="D114" s="11">
        <f>IF(B114="","",$H$5)</f>
        <v/>
      </c>
      <c r="E114" s="11">
        <f>IF(B114="","",G113*$D$5/12)</f>
        <v/>
      </c>
      <c r="F114" s="11">
        <f>IF(B114="","",D114-E114)</f>
        <v/>
      </c>
      <c r="G114" s="11">
        <f>IF(B114="","",G113-F114)</f>
        <v/>
      </c>
    </row>
    <row r="115">
      <c r="B115" s="7">
        <f>IF(106&lt;=$H$4,106,"")</f>
        <v/>
      </c>
      <c r="C115" s="14">
        <f>IF(B115="","",EDATE($D$7,106-1))</f>
        <v/>
      </c>
      <c r="D115" s="11">
        <f>IF(B115="","",$H$5)</f>
        <v/>
      </c>
      <c r="E115" s="11">
        <f>IF(B115="","",G114*$D$5/12)</f>
        <v/>
      </c>
      <c r="F115" s="11">
        <f>IF(B115="","",D115-E115)</f>
        <v/>
      </c>
      <c r="G115" s="11">
        <f>IF(B115="","",G114-F115)</f>
        <v/>
      </c>
    </row>
    <row r="116">
      <c r="B116" s="7">
        <f>IF(107&lt;=$H$4,107,"")</f>
        <v/>
      </c>
      <c r="C116" s="14">
        <f>IF(B116="","",EDATE($D$7,107-1))</f>
        <v/>
      </c>
      <c r="D116" s="11">
        <f>IF(B116="","",$H$5)</f>
        <v/>
      </c>
      <c r="E116" s="11">
        <f>IF(B116="","",G115*$D$5/12)</f>
        <v/>
      </c>
      <c r="F116" s="11">
        <f>IF(B116="","",D116-E116)</f>
        <v/>
      </c>
      <c r="G116" s="11">
        <f>IF(B116="","",G115-F116)</f>
        <v/>
      </c>
    </row>
    <row r="117">
      <c r="B117" s="7">
        <f>IF(108&lt;=$H$4,108,"")</f>
        <v/>
      </c>
      <c r="C117" s="14">
        <f>IF(B117="","",EDATE($D$7,108-1))</f>
        <v/>
      </c>
      <c r="D117" s="11">
        <f>IF(B117="","",$H$5)</f>
        <v/>
      </c>
      <c r="E117" s="11">
        <f>IF(B117="","",G116*$D$5/12)</f>
        <v/>
      </c>
      <c r="F117" s="11">
        <f>IF(B117="","",D117-E117)</f>
        <v/>
      </c>
      <c r="G117" s="11">
        <f>IF(B117="","",G116-F117)</f>
        <v/>
      </c>
    </row>
    <row r="118">
      <c r="B118" s="7">
        <f>IF(109&lt;=$H$4,109,"")</f>
        <v/>
      </c>
      <c r="C118" s="14">
        <f>IF(B118="","",EDATE($D$7,109-1))</f>
        <v/>
      </c>
      <c r="D118" s="11">
        <f>IF(B118="","",$H$5)</f>
        <v/>
      </c>
      <c r="E118" s="11">
        <f>IF(B118="","",G117*$D$5/12)</f>
        <v/>
      </c>
      <c r="F118" s="11">
        <f>IF(B118="","",D118-E118)</f>
        <v/>
      </c>
      <c r="G118" s="11">
        <f>IF(B118="","",G117-F118)</f>
        <v/>
      </c>
    </row>
    <row r="119">
      <c r="B119" s="7">
        <f>IF(110&lt;=$H$4,110,"")</f>
        <v/>
      </c>
      <c r="C119" s="14">
        <f>IF(B119="","",EDATE($D$7,110-1))</f>
        <v/>
      </c>
      <c r="D119" s="11">
        <f>IF(B119="","",$H$5)</f>
        <v/>
      </c>
      <c r="E119" s="11">
        <f>IF(B119="","",G118*$D$5/12)</f>
        <v/>
      </c>
      <c r="F119" s="11">
        <f>IF(B119="","",D119-E119)</f>
        <v/>
      </c>
      <c r="G119" s="11">
        <f>IF(B119="","",G118-F119)</f>
        <v/>
      </c>
    </row>
    <row r="120">
      <c r="B120" s="7">
        <f>IF(111&lt;=$H$4,111,"")</f>
        <v/>
      </c>
      <c r="C120" s="14">
        <f>IF(B120="","",EDATE($D$7,111-1))</f>
        <v/>
      </c>
      <c r="D120" s="11">
        <f>IF(B120="","",$H$5)</f>
        <v/>
      </c>
      <c r="E120" s="11">
        <f>IF(B120="","",G119*$D$5/12)</f>
        <v/>
      </c>
      <c r="F120" s="11">
        <f>IF(B120="","",D120-E120)</f>
        <v/>
      </c>
      <c r="G120" s="11">
        <f>IF(B120="","",G119-F120)</f>
        <v/>
      </c>
    </row>
    <row r="121">
      <c r="B121" s="7">
        <f>IF(112&lt;=$H$4,112,"")</f>
        <v/>
      </c>
      <c r="C121" s="14">
        <f>IF(B121="","",EDATE($D$7,112-1))</f>
        <v/>
      </c>
      <c r="D121" s="11">
        <f>IF(B121="","",$H$5)</f>
        <v/>
      </c>
      <c r="E121" s="11">
        <f>IF(B121="","",G120*$D$5/12)</f>
        <v/>
      </c>
      <c r="F121" s="11">
        <f>IF(B121="","",D121-E121)</f>
        <v/>
      </c>
      <c r="G121" s="11">
        <f>IF(B121="","",G120-F121)</f>
        <v/>
      </c>
    </row>
    <row r="122">
      <c r="B122" s="7">
        <f>IF(113&lt;=$H$4,113,"")</f>
        <v/>
      </c>
      <c r="C122" s="14">
        <f>IF(B122="","",EDATE($D$7,113-1))</f>
        <v/>
      </c>
      <c r="D122" s="11">
        <f>IF(B122="","",$H$5)</f>
        <v/>
      </c>
      <c r="E122" s="11">
        <f>IF(B122="","",G121*$D$5/12)</f>
        <v/>
      </c>
      <c r="F122" s="11">
        <f>IF(B122="","",D122-E122)</f>
        <v/>
      </c>
      <c r="G122" s="11">
        <f>IF(B122="","",G121-F122)</f>
        <v/>
      </c>
    </row>
    <row r="123">
      <c r="B123" s="7">
        <f>IF(114&lt;=$H$4,114,"")</f>
        <v/>
      </c>
      <c r="C123" s="14">
        <f>IF(B123="","",EDATE($D$7,114-1))</f>
        <v/>
      </c>
      <c r="D123" s="11">
        <f>IF(B123="","",$H$5)</f>
        <v/>
      </c>
      <c r="E123" s="11">
        <f>IF(B123="","",G122*$D$5/12)</f>
        <v/>
      </c>
      <c r="F123" s="11">
        <f>IF(B123="","",D123-E123)</f>
        <v/>
      </c>
      <c r="G123" s="11">
        <f>IF(B123="","",G122-F123)</f>
        <v/>
      </c>
    </row>
    <row r="124">
      <c r="B124" s="7">
        <f>IF(115&lt;=$H$4,115,"")</f>
        <v/>
      </c>
      <c r="C124" s="14">
        <f>IF(B124="","",EDATE($D$7,115-1))</f>
        <v/>
      </c>
      <c r="D124" s="11">
        <f>IF(B124="","",$H$5)</f>
        <v/>
      </c>
      <c r="E124" s="11">
        <f>IF(B124="","",G123*$D$5/12)</f>
        <v/>
      </c>
      <c r="F124" s="11">
        <f>IF(B124="","",D124-E124)</f>
        <v/>
      </c>
      <c r="G124" s="11">
        <f>IF(B124="","",G123-F124)</f>
        <v/>
      </c>
    </row>
    <row r="125">
      <c r="B125" s="7">
        <f>IF(116&lt;=$H$4,116,"")</f>
        <v/>
      </c>
      <c r="C125" s="14">
        <f>IF(B125="","",EDATE($D$7,116-1))</f>
        <v/>
      </c>
      <c r="D125" s="11">
        <f>IF(B125="","",$H$5)</f>
        <v/>
      </c>
      <c r="E125" s="11">
        <f>IF(B125="","",G124*$D$5/12)</f>
        <v/>
      </c>
      <c r="F125" s="11">
        <f>IF(B125="","",D125-E125)</f>
        <v/>
      </c>
      <c r="G125" s="11">
        <f>IF(B125="","",G124-F125)</f>
        <v/>
      </c>
    </row>
    <row r="126">
      <c r="B126" s="7">
        <f>IF(117&lt;=$H$4,117,"")</f>
        <v/>
      </c>
      <c r="C126" s="14">
        <f>IF(B126="","",EDATE($D$7,117-1))</f>
        <v/>
      </c>
      <c r="D126" s="11">
        <f>IF(B126="","",$H$5)</f>
        <v/>
      </c>
      <c r="E126" s="11">
        <f>IF(B126="","",G125*$D$5/12)</f>
        <v/>
      </c>
      <c r="F126" s="11">
        <f>IF(B126="","",D126-E126)</f>
        <v/>
      </c>
      <c r="G126" s="11">
        <f>IF(B126="","",G125-F126)</f>
        <v/>
      </c>
    </row>
    <row r="127">
      <c r="B127" s="7">
        <f>IF(118&lt;=$H$4,118,"")</f>
        <v/>
      </c>
      <c r="C127" s="14">
        <f>IF(B127="","",EDATE($D$7,118-1))</f>
        <v/>
      </c>
      <c r="D127" s="11">
        <f>IF(B127="","",$H$5)</f>
        <v/>
      </c>
      <c r="E127" s="11">
        <f>IF(B127="","",G126*$D$5/12)</f>
        <v/>
      </c>
      <c r="F127" s="11">
        <f>IF(B127="","",D127-E127)</f>
        <v/>
      </c>
      <c r="G127" s="11">
        <f>IF(B127="","",G126-F127)</f>
        <v/>
      </c>
    </row>
    <row r="128">
      <c r="B128" s="7">
        <f>IF(119&lt;=$H$4,119,"")</f>
        <v/>
      </c>
      <c r="C128" s="14">
        <f>IF(B128="","",EDATE($D$7,119-1))</f>
        <v/>
      </c>
      <c r="D128" s="11">
        <f>IF(B128="","",$H$5)</f>
        <v/>
      </c>
      <c r="E128" s="11">
        <f>IF(B128="","",G127*$D$5/12)</f>
        <v/>
      </c>
      <c r="F128" s="11">
        <f>IF(B128="","",D128-E128)</f>
        <v/>
      </c>
      <c r="G128" s="11">
        <f>IF(B128="","",G127-F128)</f>
        <v/>
      </c>
    </row>
    <row r="129">
      <c r="B129" s="7">
        <f>IF(120&lt;=$H$4,120,"")</f>
        <v/>
      </c>
      <c r="C129" s="14">
        <f>IF(B129="","",EDATE($D$7,120-1))</f>
        <v/>
      </c>
      <c r="D129" s="11">
        <f>IF(B129="","",$H$5)</f>
        <v/>
      </c>
      <c r="E129" s="11">
        <f>IF(B129="","",G128*$D$5/12)</f>
        <v/>
      </c>
      <c r="F129" s="11">
        <f>IF(B129="","",D129-E129)</f>
        <v/>
      </c>
      <c r="G129" s="11">
        <f>IF(B129="","",G128-F129)</f>
        <v/>
      </c>
    </row>
    <row r="130">
      <c r="B130" s="7">
        <f>IF(121&lt;=$H$4,121,"")</f>
        <v/>
      </c>
      <c r="C130" s="14">
        <f>IF(B130="","",EDATE($D$7,121-1))</f>
        <v/>
      </c>
      <c r="D130" s="11">
        <f>IF(B130="","",$H$5)</f>
        <v/>
      </c>
      <c r="E130" s="11">
        <f>IF(B130="","",G129*$D$5/12)</f>
        <v/>
      </c>
      <c r="F130" s="11">
        <f>IF(B130="","",D130-E130)</f>
        <v/>
      </c>
      <c r="G130" s="11">
        <f>IF(B130="","",G129-F130)</f>
        <v/>
      </c>
    </row>
    <row r="131">
      <c r="B131" s="7">
        <f>IF(122&lt;=$H$4,122,"")</f>
        <v/>
      </c>
      <c r="C131" s="14">
        <f>IF(B131="","",EDATE($D$7,122-1))</f>
        <v/>
      </c>
      <c r="D131" s="11">
        <f>IF(B131="","",$H$5)</f>
        <v/>
      </c>
      <c r="E131" s="11">
        <f>IF(B131="","",G130*$D$5/12)</f>
        <v/>
      </c>
      <c r="F131" s="11">
        <f>IF(B131="","",D131-E131)</f>
        <v/>
      </c>
      <c r="G131" s="11">
        <f>IF(B131="","",G130-F131)</f>
        <v/>
      </c>
    </row>
    <row r="132">
      <c r="B132" s="7">
        <f>IF(123&lt;=$H$4,123,"")</f>
        <v/>
      </c>
      <c r="C132" s="14">
        <f>IF(B132="","",EDATE($D$7,123-1))</f>
        <v/>
      </c>
      <c r="D132" s="11">
        <f>IF(B132="","",$H$5)</f>
        <v/>
      </c>
      <c r="E132" s="11">
        <f>IF(B132="","",G131*$D$5/12)</f>
        <v/>
      </c>
      <c r="F132" s="11">
        <f>IF(B132="","",D132-E132)</f>
        <v/>
      </c>
      <c r="G132" s="11">
        <f>IF(B132="","",G131-F132)</f>
        <v/>
      </c>
    </row>
    <row r="133">
      <c r="B133" s="7">
        <f>IF(124&lt;=$H$4,124,"")</f>
        <v/>
      </c>
      <c r="C133" s="14">
        <f>IF(B133="","",EDATE($D$7,124-1))</f>
        <v/>
      </c>
      <c r="D133" s="11">
        <f>IF(B133="","",$H$5)</f>
        <v/>
      </c>
      <c r="E133" s="11">
        <f>IF(B133="","",G132*$D$5/12)</f>
        <v/>
      </c>
      <c r="F133" s="11">
        <f>IF(B133="","",D133-E133)</f>
        <v/>
      </c>
      <c r="G133" s="11">
        <f>IF(B133="","",G132-F133)</f>
        <v/>
      </c>
    </row>
    <row r="134">
      <c r="B134" s="7">
        <f>IF(125&lt;=$H$4,125,"")</f>
        <v/>
      </c>
      <c r="C134" s="14">
        <f>IF(B134="","",EDATE($D$7,125-1))</f>
        <v/>
      </c>
      <c r="D134" s="11">
        <f>IF(B134="","",$H$5)</f>
        <v/>
      </c>
      <c r="E134" s="11">
        <f>IF(B134="","",G133*$D$5/12)</f>
        <v/>
      </c>
      <c r="F134" s="11">
        <f>IF(B134="","",D134-E134)</f>
        <v/>
      </c>
      <c r="G134" s="11">
        <f>IF(B134="","",G133-F134)</f>
        <v/>
      </c>
    </row>
    <row r="135">
      <c r="B135" s="7">
        <f>IF(126&lt;=$H$4,126,"")</f>
        <v/>
      </c>
      <c r="C135" s="14">
        <f>IF(B135="","",EDATE($D$7,126-1))</f>
        <v/>
      </c>
      <c r="D135" s="11">
        <f>IF(B135="","",$H$5)</f>
        <v/>
      </c>
      <c r="E135" s="11">
        <f>IF(B135="","",G134*$D$5/12)</f>
        <v/>
      </c>
      <c r="F135" s="11">
        <f>IF(B135="","",D135-E135)</f>
        <v/>
      </c>
      <c r="G135" s="11">
        <f>IF(B135="","",G134-F135)</f>
        <v/>
      </c>
    </row>
    <row r="136">
      <c r="B136" s="7">
        <f>IF(127&lt;=$H$4,127,"")</f>
        <v/>
      </c>
      <c r="C136" s="14">
        <f>IF(B136="","",EDATE($D$7,127-1))</f>
        <v/>
      </c>
      <c r="D136" s="11">
        <f>IF(B136="","",$H$5)</f>
        <v/>
      </c>
      <c r="E136" s="11">
        <f>IF(B136="","",G135*$D$5/12)</f>
        <v/>
      </c>
      <c r="F136" s="11">
        <f>IF(B136="","",D136-E136)</f>
        <v/>
      </c>
      <c r="G136" s="11">
        <f>IF(B136="","",G135-F136)</f>
        <v/>
      </c>
    </row>
    <row r="137">
      <c r="B137" s="7">
        <f>IF(128&lt;=$H$4,128,"")</f>
        <v/>
      </c>
      <c r="C137" s="14">
        <f>IF(B137="","",EDATE($D$7,128-1))</f>
        <v/>
      </c>
      <c r="D137" s="11">
        <f>IF(B137="","",$H$5)</f>
        <v/>
      </c>
      <c r="E137" s="11">
        <f>IF(B137="","",G136*$D$5/12)</f>
        <v/>
      </c>
      <c r="F137" s="11">
        <f>IF(B137="","",D137-E137)</f>
        <v/>
      </c>
      <c r="G137" s="11">
        <f>IF(B137="","",G136-F137)</f>
        <v/>
      </c>
    </row>
    <row r="138">
      <c r="B138" s="7">
        <f>IF(129&lt;=$H$4,129,"")</f>
        <v/>
      </c>
      <c r="C138" s="14">
        <f>IF(B138="","",EDATE($D$7,129-1))</f>
        <v/>
      </c>
      <c r="D138" s="11">
        <f>IF(B138="","",$H$5)</f>
        <v/>
      </c>
      <c r="E138" s="11">
        <f>IF(B138="","",G137*$D$5/12)</f>
        <v/>
      </c>
      <c r="F138" s="11">
        <f>IF(B138="","",D138-E138)</f>
        <v/>
      </c>
      <c r="G138" s="11">
        <f>IF(B138="","",G137-F138)</f>
        <v/>
      </c>
    </row>
    <row r="139">
      <c r="B139" s="7">
        <f>IF(130&lt;=$H$4,130,"")</f>
        <v/>
      </c>
      <c r="C139" s="14">
        <f>IF(B139="","",EDATE($D$7,130-1))</f>
        <v/>
      </c>
      <c r="D139" s="11">
        <f>IF(B139="","",$H$5)</f>
        <v/>
      </c>
      <c r="E139" s="11">
        <f>IF(B139="","",G138*$D$5/12)</f>
        <v/>
      </c>
      <c r="F139" s="11">
        <f>IF(B139="","",D139-E139)</f>
        <v/>
      </c>
      <c r="G139" s="11">
        <f>IF(B139="","",G138-F139)</f>
        <v/>
      </c>
    </row>
    <row r="140">
      <c r="B140" s="7">
        <f>IF(131&lt;=$H$4,131,"")</f>
        <v/>
      </c>
      <c r="C140" s="14">
        <f>IF(B140="","",EDATE($D$7,131-1))</f>
        <v/>
      </c>
      <c r="D140" s="11">
        <f>IF(B140="","",$H$5)</f>
        <v/>
      </c>
      <c r="E140" s="11">
        <f>IF(B140="","",G139*$D$5/12)</f>
        <v/>
      </c>
      <c r="F140" s="11">
        <f>IF(B140="","",D140-E140)</f>
        <v/>
      </c>
      <c r="G140" s="11">
        <f>IF(B140="","",G139-F140)</f>
        <v/>
      </c>
    </row>
    <row r="141">
      <c r="B141" s="7">
        <f>IF(132&lt;=$H$4,132,"")</f>
        <v/>
      </c>
      <c r="C141" s="14">
        <f>IF(B141="","",EDATE($D$7,132-1))</f>
        <v/>
      </c>
      <c r="D141" s="11">
        <f>IF(B141="","",$H$5)</f>
        <v/>
      </c>
      <c r="E141" s="11">
        <f>IF(B141="","",G140*$D$5/12)</f>
        <v/>
      </c>
      <c r="F141" s="11">
        <f>IF(B141="","",D141-E141)</f>
        <v/>
      </c>
      <c r="G141" s="11">
        <f>IF(B141="","",G140-F141)</f>
        <v/>
      </c>
    </row>
    <row r="142">
      <c r="B142" s="7">
        <f>IF(133&lt;=$H$4,133,"")</f>
        <v/>
      </c>
      <c r="C142" s="14">
        <f>IF(B142="","",EDATE($D$7,133-1))</f>
        <v/>
      </c>
      <c r="D142" s="11">
        <f>IF(B142="","",$H$5)</f>
        <v/>
      </c>
      <c r="E142" s="11">
        <f>IF(B142="","",G141*$D$5/12)</f>
        <v/>
      </c>
      <c r="F142" s="11">
        <f>IF(B142="","",D142-E142)</f>
        <v/>
      </c>
      <c r="G142" s="11">
        <f>IF(B142="","",G141-F142)</f>
        <v/>
      </c>
    </row>
    <row r="143">
      <c r="B143" s="7">
        <f>IF(134&lt;=$H$4,134,"")</f>
        <v/>
      </c>
      <c r="C143" s="14">
        <f>IF(B143="","",EDATE($D$7,134-1))</f>
        <v/>
      </c>
      <c r="D143" s="11">
        <f>IF(B143="","",$H$5)</f>
        <v/>
      </c>
      <c r="E143" s="11">
        <f>IF(B143="","",G142*$D$5/12)</f>
        <v/>
      </c>
      <c r="F143" s="11">
        <f>IF(B143="","",D143-E143)</f>
        <v/>
      </c>
      <c r="G143" s="11">
        <f>IF(B143="","",G142-F143)</f>
        <v/>
      </c>
    </row>
    <row r="144">
      <c r="B144" s="7">
        <f>IF(135&lt;=$H$4,135,"")</f>
        <v/>
      </c>
      <c r="C144" s="14">
        <f>IF(B144="","",EDATE($D$7,135-1))</f>
        <v/>
      </c>
      <c r="D144" s="11">
        <f>IF(B144="","",$H$5)</f>
        <v/>
      </c>
      <c r="E144" s="11">
        <f>IF(B144="","",G143*$D$5/12)</f>
        <v/>
      </c>
      <c r="F144" s="11">
        <f>IF(B144="","",D144-E144)</f>
        <v/>
      </c>
      <c r="G144" s="11">
        <f>IF(B144="","",G143-F144)</f>
        <v/>
      </c>
    </row>
    <row r="145">
      <c r="B145" s="7">
        <f>IF(136&lt;=$H$4,136,"")</f>
        <v/>
      </c>
      <c r="C145" s="14">
        <f>IF(B145="","",EDATE($D$7,136-1))</f>
        <v/>
      </c>
      <c r="D145" s="11">
        <f>IF(B145="","",$H$5)</f>
        <v/>
      </c>
      <c r="E145" s="11">
        <f>IF(B145="","",G144*$D$5/12)</f>
        <v/>
      </c>
      <c r="F145" s="11">
        <f>IF(B145="","",D145-E145)</f>
        <v/>
      </c>
      <c r="G145" s="11">
        <f>IF(B145="","",G144-F145)</f>
        <v/>
      </c>
    </row>
    <row r="146">
      <c r="B146" s="7">
        <f>IF(137&lt;=$H$4,137,"")</f>
        <v/>
      </c>
      <c r="C146" s="14">
        <f>IF(B146="","",EDATE($D$7,137-1))</f>
        <v/>
      </c>
      <c r="D146" s="11">
        <f>IF(B146="","",$H$5)</f>
        <v/>
      </c>
      <c r="E146" s="11">
        <f>IF(B146="","",G145*$D$5/12)</f>
        <v/>
      </c>
      <c r="F146" s="11">
        <f>IF(B146="","",D146-E146)</f>
        <v/>
      </c>
      <c r="G146" s="11">
        <f>IF(B146="","",G145-F146)</f>
        <v/>
      </c>
    </row>
    <row r="147">
      <c r="B147" s="7">
        <f>IF(138&lt;=$H$4,138,"")</f>
        <v/>
      </c>
      <c r="C147" s="14">
        <f>IF(B147="","",EDATE($D$7,138-1))</f>
        <v/>
      </c>
      <c r="D147" s="11">
        <f>IF(B147="","",$H$5)</f>
        <v/>
      </c>
      <c r="E147" s="11">
        <f>IF(B147="","",G146*$D$5/12)</f>
        <v/>
      </c>
      <c r="F147" s="11">
        <f>IF(B147="","",D147-E147)</f>
        <v/>
      </c>
      <c r="G147" s="11">
        <f>IF(B147="","",G146-F147)</f>
        <v/>
      </c>
    </row>
    <row r="148">
      <c r="B148" s="7">
        <f>IF(139&lt;=$H$4,139,"")</f>
        <v/>
      </c>
      <c r="C148" s="14">
        <f>IF(B148="","",EDATE($D$7,139-1))</f>
        <v/>
      </c>
      <c r="D148" s="11">
        <f>IF(B148="","",$H$5)</f>
        <v/>
      </c>
      <c r="E148" s="11">
        <f>IF(B148="","",G147*$D$5/12)</f>
        <v/>
      </c>
      <c r="F148" s="11">
        <f>IF(B148="","",D148-E148)</f>
        <v/>
      </c>
      <c r="G148" s="11">
        <f>IF(B148="","",G147-F148)</f>
        <v/>
      </c>
    </row>
    <row r="149">
      <c r="B149" s="7">
        <f>IF(140&lt;=$H$4,140,"")</f>
        <v/>
      </c>
      <c r="C149" s="14">
        <f>IF(B149="","",EDATE($D$7,140-1))</f>
        <v/>
      </c>
      <c r="D149" s="11">
        <f>IF(B149="","",$H$5)</f>
        <v/>
      </c>
      <c r="E149" s="11">
        <f>IF(B149="","",G148*$D$5/12)</f>
        <v/>
      </c>
      <c r="F149" s="11">
        <f>IF(B149="","",D149-E149)</f>
        <v/>
      </c>
      <c r="G149" s="11">
        <f>IF(B149="","",G148-F149)</f>
        <v/>
      </c>
    </row>
    <row r="150">
      <c r="B150" s="7">
        <f>IF(141&lt;=$H$4,141,"")</f>
        <v/>
      </c>
      <c r="C150" s="14">
        <f>IF(B150="","",EDATE($D$7,141-1))</f>
        <v/>
      </c>
      <c r="D150" s="11">
        <f>IF(B150="","",$H$5)</f>
        <v/>
      </c>
      <c r="E150" s="11">
        <f>IF(B150="","",G149*$D$5/12)</f>
        <v/>
      </c>
      <c r="F150" s="11">
        <f>IF(B150="","",D150-E150)</f>
        <v/>
      </c>
      <c r="G150" s="11">
        <f>IF(B150="","",G149-F150)</f>
        <v/>
      </c>
    </row>
    <row r="151">
      <c r="B151" s="7">
        <f>IF(142&lt;=$H$4,142,"")</f>
        <v/>
      </c>
      <c r="C151" s="14">
        <f>IF(B151="","",EDATE($D$7,142-1))</f>
        <v/>
      </c>
      <c r="D151" s="11">
        <f>IF(B151="","",$H$5)</f>
        <v/>
      </c>
      <c r="E151" s="11">
        <f>IF(B151="","",G150*$D$5/12)</f>
        <v/>
      </c>
      <c r="F151" s="11">
        <f>IF(B151="","",D151-E151)</f>
        <v/>
      </c>
      <c r="G151" s="11">
        <f>IF(B151="","",G150-F151)</f>
        <v/>
      </c>
    </row>
    <row r="152">
      <c r="B152" s="7">
        <f>IF(143&lt;=$H$4,143,"")</f>
        <v/>
      </c>
      <c r="C152" s="14">
        <f>IF(B152="","",EDATE($D$7,143-1))</f>
        <v/>
      </c>
      <c r="D152" s="11">
        <f>IF(B152="","",$H$5)</f>
        <v/>
      </c>
      <c r="E152" s="11">
        <f>IF(B152="","",G151*$D$5/12)</f>
        <v/>
      </c>
      <c r="F152" s="11">
        <f>IF(B152="","",D152-E152)</f>
        <v/>
      </c>
      <c r="G152" s="11">
        <f>IF(B152="","",G151-F152)</f>
        <v/>
      </c>
    </row>
    <row r="153">
      <c r="B153" s="7">
        <f>IF(144&lt;=$H$4,144,"")</f>
        <v/>
      </c>
      <c r="C153" s="14">
        <f>IF(B153="","",EDATE($D$7,144-1))</f>
        <v/>
      </c>
      <c r="D153" s="11">
        <f>IF(B153="","",$H$5)</f>
        <v/>
      </c>
      <c r="E153" s="11">
        <f>IF(B153="","",G152*$D$5/12)</f>
        <v/>
      </c>
      <c r="F153" s="11">
        <f>IF(B153="","",D153-E153)</f>
        <v/>
      </c>
      <c r="G153" s="11">
        <f>IF(B153="","",G152-F153)</f>
        <v/>
      </c>
    </row>
    <row r="154">
      <c r="B154" s="7">
        <f>IF(145&lt;=$H$4,145,"")</f>
        <v/>
      </c>
      <c r="C154" s="14">
        <f>IF(B154="","",EDATE($D$7,145-1))</f>
        <v/>
      </c>
      <c r="D154" s="11">
        <f>IF(B154="","",$H$5)</f>
        <v/>
      </c>
      <c r="E154" s="11">
        <f>IF(B154="","",G153*$D$5/12)</f>
        <v/>
      </c>
      <c r="F154" s="11">
        <f>IF(B154="","",D154-E154)</f>
        <v/>
      </c>
      <c r="G154" s="11">
        <f>IF(B154="","",G153-F154)</f>
        <v/>
      </c>
    </row>
    <row r="155">
      <c r="B155" s="7">
        <f>IF(146&lt;=$H$4,146,"")</f>
        <v/>
      </c>
      <c r="C155" s="14">
        <f>IF(B155="","",EDATE($D$7,146-1))</f>
        <v/>
      </c>
      <c r="D155" s="11">
        <f>IF(B155="","",$H$5)</f>
        <v/>
      </c>
      <c r="E155" s="11">
        <f>IF(B155="","",G154*$D$5/12)</f>
        <v/>
      </c>
      <c r="F155" s="11">
        <f>IF(B155="","",D155-E155)</f>
        <v/>
      </c>
      <c r="G155" s="11">
        <f>IF(B155="","",G154-F155)</f>
        <v/>
      </c>
    </row>
    <row r="156">
      <c r="B156" s="7">
        <f>IF(147&lt;=$H$4,147,"")</f>
        <v/>
      </c>
      <c r="C156" s="14">
        <f>IF(B156="","",EDATE($D$7,147-1))</f>
        <v/>
      </c>
      <c r="D156" s="11">
        <f>IF(B156="","",$H$5)</f>
        <v/>
      </c>
      <c r="E156" s="11">
        <f>IF(B156="","",G155*$D$5/12)</f>
        <v/>
      </c>
      <c r="F156" s="11">
        <f>IF(B156="","",D156-E156)</f>
        <v/>
      </c>
      <c r="G156" s="11">
        <f>IF(B156="","",G155-F156)</f>
        <v/>
      </c>
    </row>
    <row r="157">
      <c r="B157" s="7">
        <f>IF(148&lt;=$H$4,148,"")</f>
        <v/>
      </c>
      <c r="C157" s="14">
        <f>IF(B157="","",EDATE($D$7,148-1))</f>
        <v/>
      </c>
      <c r="D157" s="11">
        <f>IF(B157="","",$H$5)</f>
        <v/>
      </c>
      <c r="E157" s="11">
        <f>IF(B157="","",G156*$D$5/12)</f>
        <v/>
      </c>
      <c r="F157" s="11">
        <f>IF(B157="","",D157-E157)</f>
        <v/>
      </c>
      <c r="G157" s="11">
        <f>IF(B157="","",G156-F157)</f>
        <v/>
      </c>
    </row>
    <row r="158">
      <c r="B158" s="7">
        <f>IF(149&lt;=$H$4,149,"")</f>
        <v/>
      </c>
      <c r="C158" s="14">
        <f>IF(B158="","",EDATE($D$7,149-1))</f>
        <v/>
      </c>
      <c r="D158" s="11">
        <f>IF(B158="","",$H$5)</f>
        <v/>
      </c>
      <c r="E158" s="11">
        <f>IF(B158="","",G157*$D$5/12)</f>
        <v/>
      </c>
      <c r="F158" s="11">
        <f>IF(B158="","",D158-E158)</f>
        <v/>
      </c>
      <c r="G158" s="11">
        <f>IF(B158="","",G157-F158)</f>
        <v/>
      </c>
    </row>
    <row r="159">
      <c r="B159" s="7">
        <f>IF(150&lt;=$H$4,150,"")</f>
        <v/>
      </c>
      <c r="C159" s="14">
        <f>IF(B159="","",EDATE($D$7,150-1))</f>
        <v/>
      </c>
      <c r="D159" s="11">
        <f>IF(B159="","",$H$5)</f>
        <v/>
      </c>
      <c r="E159" s="11">
        <f>IF(B159="","",G158*$D$5/12)</f>
        <v/>
      </c>
      <c r="F159" s="11">
        <f>IF(B159="","",D159-E159)</f>
        <v/>
      </c>
      <c r="G159" s="11">
        <f>IF(B159="","",G158-F159)</f>
        <v/>
      </c>
    </row>
    <row r="160">
      <c r="B160" s="7">
        <f>IF(151&lt;=$H$4,151,"")</f>
        <v/>
      </c>
      <c r="C160" s="14">
        <f>IF(B160="","",EDATE($D$7,151-1))</f>
        <v/>
      </c>
      <c r="D160" s="11">
        <f>IF(B160="","",$H$5)</f>
        <v/>
      </c>
      <c r="E160" s="11">
        <f>IF(B160="","",G159*$D$5/12)</f>
        <v/>
      </c>
      <c r="F160" s="11">
        <f>IF(B160="","",D160-E160)</f>
        <v/>
      </c>
      <c r="G160" s="11">
        <f>IF(B160="","",G159-F160)</f>
        <v/>
      </c>
    </row>
    <row r="161">
      <c r="B161" s="7">
        <f>IF(152&lt;=$H$4,152,"")</f>
        <v/>
      </c>
      <c r="C161" s="14">
        <f>IF(B161="","",EDATE($D$7,152-1))</f>
        <v/>
      </c>
      <c r="D161" s="11">
        <f>IF(B161="","",$H$5)</f>
        <v/>
      </c>
      <c r="E161" s="11">
        <f>IF(B161="","",G160*$D$5/12)</f>
        <v/>
      </c>
      <c r="F161" s="11">
        <f>IF(B161="","",D161-E161)</f>
        <v/>
      </c>
      <c r="G161" s="11">
        <f>IF(B161="","",G160-F161)</f>
        <v/>
      </c>
    </row>
    <row r="162">
      <c r="B162" s="7">
        <f>IF(153&lt;=$H$4,153,"")</f>
        <v/>
      </c>
      <c r="C162" s="14">
        <f>IF(B162="","",EDATE($D$7,153-1))</f>
        <v/>
      </c>
      <c r="D162" s="11">
        <f>IF(B162="","",$H$5)</f>
        <v/>
      </c>
      <c r="E162" s="11">
        <f>IF(B162="","",G161*$D$5/12)</f>
        <v/>
      </c>
      <c r="F162" s="11">
        <f>IF(B162="","",D162-E162)</f>
        <v/>
      </c>
      <c r="G162" s="11">
        <f>IF(B162="","",G161-F162)</f>
        <v/>
      </c>
    </row>
    <row r="163">
      <c r="B163" s="7">
        <f>IF(154&lt;=$H$4,154,"")</f>
        <v/>
      </c>
      <c r="C163" s="14">
        <f>IF(B163="","",EDATE($D$7,154-1))</f>
        <v/>
      </c>
      <c r="D163" s="11">
        <f>IF(B163="","",$H$5)</f>
        <v/>
      </c>
      <c r="E163" s="11">
        <f>IF(B163="","",G162*$D$5/12)</f>
        <v/>
      </c>
      <c r="F163" s="11">
        <f>IF(B163="","",D163-E163)</f>
        <v/>
      </c>
      <c r="G163" s="11">
        <f>IF(B163="","",G162-F163)</f>
        <v/>
      </c>
    </row>
    <row r="164">
      <c r="B164" s="7">
        <f>IF(155&lt;=$H$4,155,"")</f>
        <v/>
      </c>
      <c r="C164" s="14">
        <f>IF(B164="","",EDATE($D$7,155-1))</f>
        <v/>
      </c>
      <c r="D164" s="11">
        <f>IF(B164="","",$H$5)</f>
        <v/>
      </c>
      <c r="E164" s="11">
        <f>IF(B164="","",G163*$D$5/12)</f>
        <v/>
      </c>
      <c r="F164" s="11">
        <f>IF(B164="","",D164-E164)</f>
        <v/>
      </c>
      <c r="G164" s="11">
        <f>IF(B164="","",G163-F164)</f>
        <v/>
      </c>
    </row>
    <row r="165">
      <c r="B165" s="7">
        <f>IF(156&lt;=$H$4,156,"")</f>
        <v/>
      </c>
      <c r="C165" s="14">
        <f>IF(B165="","",EDATE($D$7,156-1))</f>
        <v/>
      </c>
      <c r="D165" s="11">
        <f>IF(B165="","",$H$5)</f>
        <v/>
      </c>
      <c r="E165" s="11">
        <f>IF(B165="","",G164*$D$5/12)</f>
        <v/>
      </c>
      <c r="F165" s="11">
        <f>IF(B165="","",D165-E165)</f>
        <v/>
      </c>
      <c r="G165" s="11">
        <f>IF(B165="","",G164-F165)</f>
        <v/>
      </c>
    </row>
    <row r="166">
      <c r="B166" s="7">
        <f>IF(157&lt;=$H$4,157,"")</f>
        <v/>
      </c>
      <c r="C166" s="14">
        <f>IF(B166="","",EDATE($D$7,157-1))</f>
        <v/>
      </c>
      <c r="D166" s="11">
        <f>IF(B166="","",$H$5)</f>
        <v/>
      </c>
      <c r="E166" s="11">
        <f>IF(B166="","",G165*$D$5/12)</f>
        <v/>
      </c>
      <c r="F166" s="11">
        <f>IF(B166="","",D166-E166)</f>
        <v/>
      </c>
      <c r="G166" s="11">
        <f>IF(B166="","",G165-F166)</f>
        <v/>
      </c>
    </row>
    <row r="167">
      <c r="B167" s="7">
        <f>IF(158&lt;=$H$4,158,"")</f>
        <v/>
      </c>
      <c r="C167" s="14">
        <f>IF(B167="","",EDATE($D$7,158-1))</f>
        <v/>
      </c>
      <c r="D167" s="11">
        <f>IF(B167="","",$H$5)</f>
        <v/>
      </c>
      <c r="E167" s="11">
        <f>IF(B167="","",G166*$D$5/12)</f>
        <v/>
      </c>
      <c r="F167" s="11">
        <f>IF(B167="","",D167-E167)</f>
        <v/>
      </c>
      <c r="G167" s="11">
        <f>IF(B167="","",G166-F167)</f>
        <v/>
      </c>
    </row>
    <row r="168">
      <c r="B168" s="7">
        <f>IF(159&lt;=$H$4,159,"")</f>
        <v/>
      </c>
      <c r="C168" s="14">
        <f>IF(B168="","",EDATE($D$7,159-1))</f>
        <v/>
      </c>
      <c r="D168" s="11">
        <f>IF(B168="","",$H$5)</f>
        <v/>
      </c>
      <c r="E168" s="11">
        <f>IF(B168="","",G167*$D$5/12)</f>
        <v/>
      </c>
      <c r="F168" s="11">
        <f>IF(B168="","",D168-E168)</f>
        <v/>
      </c>
      <c r="G168" s="11">
        <f>IF(B168="","",G167-F168)</f>
        <v/>
      </c>
    </row>
    <row r="169">
      <c r="B169" s="7">
        <f>IF(160&lt;=$H$4,160,"")</f>
        <v/>
      </c>
      <c r="C169" s="14">
        <f>IF(B169="","",EDATE($D$7,160-1))</f>
        <v/>
      </c>
      <c r="D169" s="11">
        <f>IF(B169="","",$H$5)</f>
        <v/>
      </c>
      <c r="E169" s="11">
        <f>IF(B169="","",G168*$D$5/12)</f>
        <v/>
      </c>
      <c r="F169" s="11">
        <f>IF(B169="","",D169-E169)</f>
        <v/>
      </c>
      <c r="G169" s="11">
        <f>IF(B169="","",G168-F169)</f>
        <v/>
      </c>
    </row>
    <row r="170">
      <c r="B170" s="7">
        <f>IF(161&lt;=$H$4,161,"")</f>
        <v/>
      </c>
      <c r="C170" s="14">
        <f>IF(B170="","",EDATE($D$7,161-1))</f>
        <v/>
      </c>
      <c r="D170" s="11">
        <f>IF(B170="","",$H$5)</f>
        <v/>
      </c>
      <c r="E170" s="11">
        <f>IF(B170="","",G169*$D$5/12)</f>
        <v/>
      </c>
      <c r="F170" s="11">
        <f>IF(B170="","",D170-E170)</f>
        <v/>
      </c>
      <c r="G170" s="11">
        <f>IF(B170="","",G169-F170)</f>
        <v/>
      </c>
    </row>
    <row r="171">
      <c r="B171" s="7">
        <f>IF(162&lt;=$H$4,162,"")</f>
        <v/>
      </c>
      <c r="C171" s="14">
        <f>IF(B171="","",EDATE($D$7,162-1))</f>
        <v/>
      </c>
      <c r="D171" s="11">
        <f>IF(B171="","",$H$5)</f>
        <v/>
      </c>
      <c r="E171" s="11">
        <f>IF(B171="","",G170*$D$5/12)</f>
        <v/>
      </c>
      <c r="F171" s="11">
        <f>IF(B171="","",D171-E171)</f>
        <v/>
      </c>
      <c r="G171" s="11">
        <f>IF(B171="","",G170-F171)</f>
        <v/>
      </c>
    </row>
    <row r="172">
      <c r="B172" s="7">
        <f>IF(163&lt;=$H$4,163,"")</f>
        <v/>
      </c>
      <c r="C172" s="14">
        <f>IF(B172="","",EDATE($D$7,163-1))</f>
        <v/>
      </c>
      <c r="D172" s="11">
        <f>IF(B172="","",$H$5)</f>
        <v/>
      </c>
      <c r="E172" s="11">
        <f>IF(B172="","",G171*$D$5/12)</f>
        <v/>
      </c>
      <c r="F172" s="11">
        <f>IF(B172="","",D172-E172)</f>
        <v/>
      </c>
      <c r="G172" s="11">
        <f>IF(B172="","",G171-F172)</f>
        <v/>
      </c>
    </row>
    <row r="173">
      <c r="B173" s="7">
        <f>IF(164&lt;=$H$4,164,"")</f>
        <v/>
      </c>
      <c r="C173" s="14">
        <f>IF(B173="","",EDATE($D$7,164-1))</f>
        <v/>
      </c>
      <c r="D173" s="11">
        <f>IF(B173="","",$H$5)</f>
        <v/>
      </c>
      <c r="E173" s="11">
        <f>IF(B173="","",G172*$D$5/12)</f>
        <v/>
      </c>
      <c r="F173" s="11">
        <f>IF(B173="","",D173-E173)</f>
        <v/>
      </c>
      <c r="G173" s="11">
        <f>IF(B173="","",G172-F173)</f>
        <v/>
      </c>
    </row>
    <row r="174">
      <c r="B174" s="7">
        <f>IF(165&lt;=$H$4,165,"")</f>
        <v/>
      </c>
      <c r="C174" s="14">
        <f>IF(B174="","",EDATE($D$7,165-1))</f>
        <v/>
      </c>
      <c r="D174" s="11">
        <f>IF(B174="","",$H$5)</f>
        <v/>
      </c>
      <c r="E174" s="11">
        <f>IF(B174="","",G173*$D$5/12)</f>
        <v/>
      </c>
      <c r="F174" s="11">
        <f>IF(B174="","",D174-E174)</f>
        <v/>
      </c>
      <c r="G174" s="11">
        <f>IF(B174="","",G173-F174)</f>
        <v/>
      </c>
    </row>
    <row r="175">
      <c r="B175" s="7">
        <f>IF(166&lt;=$H$4,166,"")</f>
        <v/>
      </c>
      <c r="C175" s="14">
        <f>IF(B175="","",EDATE($D$7,166-1))</f>
        <v/>
      </c>
      <c r="D175" s="11">
        <f>IF(B175="","",$H$5)</f>
        <v/>
      </c>
      <c r="E175" s="11">
        <f>IF(B175="","",G174*$D$5/12)</f>
        <v/>
      </c>
      <c r="F175" s="11">
        <f>IF(B175="","",D175-E175)</f>
        <v/>
      </c>
      <c r="G175" s="11">
        <f>IF(B175="","",G174-F175)</f>
        <v/>
      </c>
    </row>
    <row r="176">
      <c r="B176" s="7">
        <f>IF(167&lt;=$H$4,167,"")</f>
        <v/>
      </c>
      <c r="C176" s="14">
        <f>IF(B176="","",EDATE($D$7,167-1))</f>
        <v/>
      </c>
      <c r="D176" s="11">
        <f>IF(B176="","",$H$5)</f>
        <v/>
      </c>
      <c r="E176" s="11">
        <f>IF(B176="","",G175*$D$5/12)</f>
        <v/>
      </c>
      <c r="F176" s="11">
        <f>IF(B176="","",D176-E176)</f>
        <v/>
      </c>
      <c r="G176" s="11">
        <f>IF(B176="","",G175-F176)</f>
        <v/>
      </c>
    </row>
    <row r="177">
      <c r="B177" s="7">
        <f>IF(168&lt;=$H$4,168,"")</f>
        <v/>
      </c>
      <c r="C177" s="14">
        <f>IF(B177="","",EDATE($D$7,168-1))</f>
        <v/>
      </c>
      <c r="D177" s="11">
        <f>IF(B177="","",$H$5)</f>
        <v/>
      </c>
      <c r="E177" s="11">
        <f>IF(B177="","",G176*$D$5/12)</f>
        <v/>
      </c>
      <c r="F177" s="11">
        <f>IF(B177="","",D177-E177)</f>
        <v/>
      </c>
      <c r="G177" s="11">
        <f>IF(B177="","",G176-F177)</f>
        <v/>
      </c>
    </row>
    <row r="178">
      <c r="B178" s="7">
        <f>IF(169&lt;=$H$4,169,"")</f>
        <v/>
      </c>
      <c r="C178" s="14">
        <f>IF(B178="","",EDATE($D$7,169-1))</f>
        <v/>
      </c>
      <c r="D178" s="11">
        <f>IF(B178="","",$H$5)</f>
        <v/>
      </c>
      <c r="E178" s="11">
        <f>IF(B178="","",G177*$D$5/12)</f>
        <v/>
      </c>
      <c r="F178" s="11">
        <f>IF(B178="","",D178-E178)</f>
        <v/>
      </c>
      <c r="G178" s="11">
        <f>IF(B178="","",G177-F178)</f>
        <v/>
      </c>
    </row>
    <row r="179">
      <c r="B179" s="7">
        <f>IF(170&lt;=$H$4,170,"")</f>
        <v/>
      </c>
      <c r="C179" s="14">
        <f>IF(B179="","",EDATE($D$7,170-1))</f>
        <v/>
      </c>
      <c r="D179" s="11">
        <f>IF(B179="","",$H$5)</f>
        <v/>
      </c>
      <c r="E179" s="11">
        <f>IF(B179="","",G178*$D$5/12)</f>
        <v/>
      </c>
      <c r="F179" s="11">
        <f>IF(B179="","",D179-E179)</f>
        <v/>
      </c>
      <c r="G179" s="11">
        <f>IF(B179="","",G178-F179)</f>
        <v/>
      </c>
    </row>
    <row r="180">
      <c r="B180" s="7">
        <f>IF(171&lt;=$H$4,171,"")</f>
        <v/>
      </c>
      <c r="C180" s="14">
        <f>IF(B180="","",EDATE($D$7,171-1))</f>
        <v/>
      </c>
      <c r="D180" s="11">
        <f>IF(B180="","",$H$5)</f>
        <v/>
      </c>
      <c r="E180" s="11">
        <f>IF(B180="","",G179*$D$5/12)</f>
        <v/>
      </c>
      <c r="F180" s="11">
        <f>IF(B180="","",D180-E180)</f>
        <v/>
      </c>
      <c r="G180" s="11">
        <f>IF(B180="","",G179-F180)</f>
        <v/>
      </c>
    </row>
    <row r="181">
      <c r="B181" s="7">
        <f>IF(172&lt;=$H$4,172,"")</f>
        <v/>
      </c>
      <c r="C181" s="14">
        <f>IF(B181="","",EDATE($D$7,172-1))</f>
        <v/>
      </c>
      <c r="D181" s="11">
        <f>IF(B181="","",$H$5)</f>
        <v/>
      </c>
      <c r="E181" s="11">
        <f>IF(B181="","",G180*$D$5/12)</f>
        <v/>
      </c>
      <c r="F181" s="11">
        <f>IF(B181="","",D181-E181)</f>
        <v/>
      </c>
      <c r="G181" s="11">
        <f>IF(B181="","",G180-F181)</f>
        <v/>
      </c>
    </row>
    <row r="182">
      <c r="B182" s="7">
        <f>IF(173&lt;=$H$4,173,"")</f>
        <v/>
      </c>
      <c r="C182" s="14">
        <f>IF(B182="","",EDATE($D$7,173-1))</f>
        <v/>
      </c>
      <c r="D182" s="11">
        <f>IF(B182="","",$H$5)</f>
        <v/>
      </c>
      <c r="E182" s="11">
        <f>IF(B182="","",G181*$D$5/12)</f>
        <v/>
      </c>
      <c r="F182" s="11">
        <f>IF(B182="","",D182-E182)</f>
        <v/>
      </c>
      <c r="G182" s="11">
        <f>IF(B182="","",G181-F182)</f>
        <v/>
      </c>
    </row>
    <row r="183">
      <c r="B183" s="7">
        <f>IF(174&lt;=$H$4,174,"")</f>
        <v/>
      </c>
      <c r="C183" s="14">
        <f>IF(B183="","",EDATE($D$7,174-1))</f>
        <v/>
      </c>
      <c r="D183" s="11">
        <f>IF(B183="","",$H$5)</f>
        <v/>
      </c>
      <c r="E183" s="11">
        <f>IF(B183="","",G182*$D$5/12)</f>
        <v/>
      </c>
      <c r="F183" s="11">
        <f>IF(B183="","",D183-E183)</f>
        <v/>
      </c>
      <c r="G183" s="11">
        <f>IF(B183="","",G182-F183)</f>
        <v/>
      </c>
    </row>
    <row r="184">
      <c r="B184" s="7">
        <f>IF(175&lt;=$H$4,175,"")</f>
        <v/>
      </c>
      <c r="C184" s="14">
        <f>IF(B184="","",EDATE($D$7,175-1))</f>
        <v/>
      </c>
      <c r="D184" s="11">
        <f>IF(B184="","",$H$5)</f>
        <v/>
      </c>
      <c r="E184" s="11">
        <f>IF(B184="","",G183*$D$5/12)</f>
        <v/>
      </c>
      <c r="F184" s="11">
        <f>IF(B184="","",D184-E184)</f>
        <v/>
      </c>
      <c r="G184" s="11">
        <f>IF(B184="","",G183-F184)</f>
        <v/>
      </c>
    </row>
    <row r="185">
      <c r="B185" s="7">
        <f>IF(176&lt;=$H$4,176,"")</f>
        <v/>
      </c>
      <c r="C185" s="14">
        <f>IF(B185="","",EDATE($D$7,176-1))</f>
        <v/>
      </c>
      <c r="D185" s="11">
        <f>IF(B185="","",$H$5)</f>
        <v/>
      </c>
      <c r="E185" s="11">
        <f>IF(B185="","",G184*$D$5/12)</f>
        <v/>
      </c>
      <c r="F185" s="11">
        <f>IF(B185="","",D185-E185)</f>
        <v/>
      </c>
      <c r="G185" s="11">
        <f>IF(B185="","",G184-F185)</f>
        <v/>
      </c>
    </row>
    <row r="186">
      <c r="B186" s="7">
        <f>IF(177&lt;=$H$4,177,"")</f>
        <v/>
      </c>
      <c r="C186" s="14">
        <f>IF(B186="","",EDATE($D$7,177-1))</f>
        <v/>
      </c>
      <c r="D186" s="11">
        <f>IF(B186="","",$H$5)</f>
        <v/>
      </c>
      <c r="E186" s="11">
        <f>IF(B186="","",G185*$D$5/12)</f>
        <v/>
      </c>
      <c r="F186" s="11">
        <f>IF(B186="","",D186-E186)</f>
        <v/>
      </c>
      <c r="G186" s="11">
        <f>IF(B186="","",G185-F186)</f>
        <v/>
      </c>
    </row>
    <row r="187">
      <c r="B187" s="7">
        <f>IF(178&lt;=$H$4,178,"")</f>
        <v/>
      </c>
      <c r="C187" s="14">
        <f>IF(B187="","",EDATE($D$7,178-1))</f>
        <v/>
      </c>
      <c r="D187" s="11">
        <f>IF(B187="","",$H$5)</f>
        <v/>
      </c>
      <c r="E187" s="11">
        <f>IF(B187="","",G186*$D$5/12)</f>
        <v/>
      </c>
      <c r="F187" s="11">
        <f>IF(B187="","",D187-E187)</f>
        <v/>
      </c>
      <c r="G187" s="11">
        <f>IF(B187="","",G186-F187)</f>
        <v/>
      </c>
    </row>
    <row r="188">
      <c r="B188" s="7">
        <f>IF(179&lt;=$H$4,179,"")</f>
        <v/>
      </c>
      <c r="C188" s="14">
        <f>IF(B188="","",EDATE($D$7,179-1))</f>
        <v/>
      </c>
      <c r="D188" s="11">
        <f>IF(B188="","",$H$5)</f>
        <v/>
      </c>
      <c r="E188" s="11">
        <f>IF(B188="","",G187*$D$5/12)</f>
        <v/>
      </c>
      <c r="F188" s="11">
        <f>IF(B188="","",D188-E188)</f>
        <v/>
      </c>
      <c r="G188" s="11">
        <f>IF(B188="","",G187-F188)</f>
        <v/>
      </c>
    </row>
    <row r="189">
      <c r="B189" s="7">
        <f>IF(180&lt;=$H$4,180,"")</f>
        <v/>
      </c>
      <c r="C189" s="14">
        <f>IF(B189="","",EDATE($D$7,180-1))</f>
        <v/>
      </c>
      <c r="D189" s="11">
        <f>IF(B189="","",$H$5)</f>
        <v/>
      </c>
      <c r="E189" s="11">
        <f>IF(B189="","",G188*$D$5/12)</f>
        <v/>
      </c>
      <c r="F189" s="11">
        <f>IF(B189="","",D189-E189)</f>
        <v/>
      </c>
      <c r="G189" s="11">
        <f>IF(B189="","",G188-F189)</f>
        <v/>
      </c>
    </row>
    <row r="190">
      <c r="B190" s="7">
        <f>IF(181&lt;=$H$4,181,"")</f>
        <v/>
      </c>
      <c r="C190" s="14">
        <f>IF(B190="","",EDATE($D$7,181-1))</f>
        <v/>
      </c>
      <c r="D190" s="11">
        <f>IF(B190="","",$H$5)</f>
        <v/>
      </c>
      <c r="E190" s="11">
        <f>IF(B190="","",G189*$D$5/12)</f>
        <v/>
      </c>
      <c r="F190" s="11">
        <f>IF(B190="","",D190-E190)</f>
        <v/>
      </c>
      <c r="G190" s="11">
        <f>IF(B190="","",G189-F190)</f>
        <v/>
      </c>
    </row>
    <row r="191">
      <c r="B191" s="7">
        <f>IF(182&lt;=$H$4,182,"")</f>
        <v/>
      </c>
      <c r="C191" s="14">
        <f>IF(B191="","",EDATE($D$7,182-1))</f>
        <v/>
      </c>
      <c r="D191" s="11">
        <f>IF(B191="","",$H$5)</f>
        <v/>
      </c>
      <c r="E191" s="11">
        <f>IF(B191="","",G190*$D$5/12)</f>
        <v/>
      </c>
      <c r="F191" s="11">
        <f>IF(B191="","",D191-E191)</f>
        <v/>
      </c>
      <c r="G191" s="11">
        <f>IF(B191="","",G190-F191)</f>
        <v/>
      </c>
    </row>
    <row r="192">
      <c r="B192" s="7">
        <f>IF(183&lt;=$H$4,183,"")</f>
        <v/>
      </c>
      <c r="C192" s="14">
        <f>IF(B192="","",EDATE($D$7,183-1))</f>
        <v/>
      </c>
      <c r="D192" s="11">
        <f>IF(B192="","",$H$5)</f>
        <v/>
      </c>
      <c r="E192" s="11">
        <f>IF(B192="","",G191*$D$5/12)</f>
        <v/>
      </c>
      <c r="F192" s="11">
        <f>IF(B192="","",D192-E192)</f>
        <v/>
      </c>
      <c r="G192" s="11">
        <f>IF(B192="","",G191-F192)</f>
        <v/>
      </c>
    </row>
    <row r="193">
      <c r="B193" s="7">
        <f>IF(184&lt;=$H$4,184,"")</f>
        <v/>
      </c>
      <c r="C193" s="14">
        <f>IF(B193="","",EDATE($D$7,184-1))</f>
        <v/>
      </c>
      <c r="D193" s="11">
        <f>IF(B193="","",$H$5)</f>
        <v/>
      </c>
      <c r="E193" s="11">
        <f>IF(B193="","",G192*$D$5/12)</f>
        <v/>
      </c>
      <c r="F193" s="11">
        <f>IF(B193="","",D193-E193)</f>
        <v/>
      </c>
      <c r="G193" s="11">
        <f>IF(B193="","",G192-F193)</f>
        <v/>
      </c>
    </row>
    <row r="194">
      <c r="B194" s="7">
        <f>IF(185&lt;=$H$4,185,"")</f>
        <v/>
      </c>
      <c r="C194" s="14">
        <f>IF(B194="","",EDATE($D$7,185-1))</f>
        <v/>
      </c>
      <c r="D194" s="11">
        <f>IF(B194="","",$H$5)</f>
        <v/>
      </c>
      <c r="E194" s="11">
        <f>IF(B194="","",G193*$D$5/12)</f>
        <v/>
      </c>
      <c r="F194" s="11">
        <f>IF(B194="","",D194-E194)</f>
        <v/>
      </c>
      <c r="G194" s="11">
        <f>IF(B194="","",G193-F194)</f>
        <v/>
      </c>
    </row>
    <row r="195">
      <c r="B195" s="7">
        <f>IF(186&lt;=$H$4,186,"")</f>
        <v/>
      </c>
      <c r="C195" s="14">
        <f>IF(B195="","",EDATE($D$7,186-1))</f>
        <v/>
      </c>
      <c r="D195" s="11">
        <f>IF(B195="","",$H$5)</f>
        <v/>
      </c>
      <c r="E195" s="11">
        <f>IF(B195="","",G194*$D$5/12)</f>
        <v/>
      </c>
      <c r="F195" s="11">
        <f>IF(B195="","",D195-E195)</f>
        <v/>
      </c>
      <c r="G195" s="11">
        <f>IF(B195="","",G194-F195)</f>
        <v/>
      </c>
    </row>
    <row r="196">
      <c r="B196" s="7">
        <f>IF(187&lt;=$H$4,187,"")</f>
        <v/>
      </c>
      <c r="C196" s="14">
        <f>IF(B196="","",EDATE($D$7,187-1))</f>
        <v/>
      </c>
      <c r="D196" s="11">
        <f>IF(B196="","",$H$5)</f>
        <v/>
      </c>
      <c r="E196" s="11">
        <f>IF(B196="","",G195*$D$5/12)</f>
        <v/>
      </c>
      <c r="F196" s="11">
        <f>IF(B196="","",D196-E196)</f>
        <v/>
      </c>
      <c r="G196" s="11">
        <f>IF(B196="","",G195-F196)</f>
        <v/>
      </c>
    </row>
    <row r="197">
      <c r="B197" s="7">
        <f>IF(188&lt;=$H$4,188,"")</f>
        <v/>
      </c>
      <c r="C197" s="14">
        <f>IF(B197="","",EDATE($D$7,188-1))</f>
        <v/>
      </c>
      <c r="D197" s="11">
        <f>IF(B197="","",$H$5)</f>
        <v/>
      </c>
      <c r="E197" s="11">
        <f>IF(B197="","",G196*$D$5/12)</f>
        <v/>
      </c>
      <c r="F197" s="11">
        <f>IF(B197="","",D197-E197)</f>
        <v/>
      </c>
      <c r="G197" s="11">
        <f>IF(B197="","",G196-F197)</f>
        <v/>
      </c>
    </row>
    <row r="198">
      <c r="B198" s="7">
        <f>IF(189&lt;=$H$4,189,"")</f>
        <v/>
      </c>
      <c r="C198" s="14">
        <f>IF(B198="","",EDATE($D$7,189-1))</f>
        <v/>
      </c>
      <c r="D198" s="11">
        <f>IF(B198="","",$H$5)</f>
        <v/>
      </c>
      <c r="E198" s="11">
        <f>IF(B198="","",G197*$D$5/12)</f>
        <v/>
      </c>
      <c r="F198" s="11">
        <f>IF(B198="","",D198-E198)</f>
        <v/>
      </c>
      <c r="G198" s="11">
        <f>IF(B198="","",G197-F198)</f>
        <v/>
      </c>
    </row>
    <row r="199">
      <c r="B199" s="7">
        <f>IF(190&lt;=$H$4,190,"")</f>
        <v/>
      </c>
      <c r="C199" s="14">
        <f>IF(B199="","",EDATE($D$7,190-1))</f>
        <v/>
      </c>
      <c r="D199" s="11">
        <f>IF(B199="","",$H$5)</f>
        <v/>
      </c>
      <c r="E199" s="11">
        <f>IF(B199="","",G198*$D$5/12)</f>
        <v/>
      </c>
      <c r="F199" s="11">
        <f>IF(B199="","",D199-E199)</f>
        <v/>
      </c>
      <c r="G199" s="11">
        <f>IF(B199="","",G198-F199)</f>
        <v/>
      </c>
    </row>
    <row r="200">
      <c r="B200" s="7">
        <f>IF(191&lt;=$H$4,191,"")</f>
        <v/>
      </c>
      <c r="C200" s="14">
        <f>IF(B200="","",EDATE($D$7,191-1))</f>
        <v/>
      </c>
      <c r="D200" s="11">
        <f>IF(B200="","",$H$5)</f>
        <v/>
      </c>
      <c r="E200" s="11">
        <f>IF(B200="","",G199*$D$5/12)</f>
        <v/>
      </c>
      <c r="F200" s="11">
        <f>IF(B200="","",D200-E200)</f>
        <v/>
      </c>
      <c r="G200" s="11">
        <f>IF(B200="","",G199-F200)</f>
        <v/>
      </c>
    </row>
    <row r="201">
      <c r="B201" s="7">
        <f>IF(192&lt;=$H$4,192,"")</f>
        <v/>
      </c>
      <c r="C201" s="14">
        <f>IF(B201="","",EDATE($D$7,192-1))</f>
        <v/>
      </c>
      <c r="D201" s="11">
        <f>IF(B201="","",$H$5)</f>
        <v/>
      </c>
      <c r="E201" s="11">
        <f>IF(B201="","",G200*$D$5/12)</f>
        <v/>
      </c>
      <c r="F201" s="11">
        <f>IF(B201="","",D201-E201)</f>
        <v/>
      </c>
      <c r="G201" s="11">
        <f>IF(B201="","",G200-F201)</f>
        <v/>
      </c>
    </row>
    <row r="202">
      <c r="B202" s="7">
        <f>IF(193&lt;=$H$4,193,"")</f>
        <v/>
      </c>
      <c r="C202" s="14">
        <f>IF(B202="","",EDATE($D$7,193-1))</f>
        <v/>
      </c>
      <c r="D202" s="11">
        <f>IF(B202="","",$H$5)</f>
        <v/>
      </c>
      <c r="E202" s="11">
        <f>IF(B202="","",G201*$D$5/12)</f>
        <v/>
      </c>
      <c r="F202" s="11">
        <f>IF(B202="","",D202-E202)</f>
        <v/>
      </c>
      <c r="G202" s="11">
        <f>IF(B202="","",G201-F202)</f>
        <v/>
      </c>
    </row>
    <row r="203">
      <c r="B203" s="7">
        <f>IF(194&lt;=$H$4,194,"")</f>
        <v/>
      </c>
      <c r="C203" s="14">
        <f>IF(B203="","",EDATE($D$7,194-1))</f>
        <v/>
      </c>
      <c r="D203" s="11">
        <f>IF(B203="","",$H$5)</f>
        <v/>
      </c>
      <c r="E203" s="11">
        <f>IF(B203="","",G202*$D$5/12)</f>
        <v/>
      </c>
      <c r="F203" s="11">
        <f>IF(B203="","",D203-E203)</f>
        <v/>
      </c>
      <c r="G203" s="11">
        <f>IF(B203="","",G202-F203)</f>
        <v/>
      </c>
    </row>
    <row r="204">
      <c r="B204" s="7">
        <f>IF(195&lt;=$H$4,195,"")</f>
        <v/>
      </c>
      <c r="C204" s="14">
        <f>IF(B204="","",EDATE($D$7,195-1))</f>
        <v/>
      </c>
      <c r="D204" s="11">
        <f>IF(B204="","",$H$5)</f>
        <v/>
      </c>
      <c r="E204" s="11">
        <f>IF(B204="","",G203*$D$5/12)</f>
        <v/>
      </c>
      <c r="F204" s="11">
        <f>IF(B204="","",D204-E204)</f>
        <v/>
      </c>
      <c r="G204" s="11">
        <f>IF(B204="","",G203-F204)</f>
        <v/>
      </c>
    </row>
    <row r="205">
      <c r="B205" s="7">
        <f>IF(196&lt;=$H$4,196,"")</f>
        <v/>
      </c>
      <c r="C205" s="14">
        <f>IF(B205="","",EDATE($D$7,196-1))</f>
        <v/>
      </c>
      <c r="D205" s="11">
        <f>IF(B205="","",$H$5)</f>
        <v/>
      </c>
      <c r="E205" s="11">
        <f>IF(B205="","",G204*$D$5/12)</f>
        <v/>
      </c>
      <c r="F205" s="11">
        <f>IF(B205="","",D205-E205)</f>
        <v/>
      </c>
      <c r="G205" s="11">
        <f>IF(B205="","",G204-F205)</f>
        <v/>
      </c>
    </row>
    <row r="206">
      <c r="B206" s="7">
        <f>IF(197&lt;=$H$4,197,"")</f>
        <v/>
      </c>
      <c r="C206" s="14">
        <f>IF(B206="","",EDATE($D$7,197-1))</f>
        <v/>
      </c>
      <c r="D206" s="11">
        <f>IF(B206="","",$H$5)</f>
        <v/>
      </c>
      <c r="E206" s="11">
        <f>IF(B206="","",G205*$D$5/12)</f>
        <v/>
      </c>
      <c r="F206" s="11">
        <f>IF(B206="","",D206-E206)</f>
        <v/>
      </c>
      <c r="G206" s="11">
        <f>IF(B206="","",G205-F206)</f>
        <v/>
      </c>
    </row>
    <row r="207">
      <c r="B207" s="7">
        <f>IF(198&lt;=$H$4,198,"")</f>
        <v/>
      </c>
      <c r="C207" s="14">
        <f>IF(B207="","",EDATE($D$7,198-1))</f>
        <v/>
      </c>
      <c r="D207" s="11">
        <f>IF(B207="","",$H$5)</f>
        <v/>
      </c>
      <c r="E207" s="11">
        <f>IF(B207="","",G206*$D$5/12)</f>
        <v/>
      </c>
      <c r="F207" s="11">
        <f>IF(B207="","",D207-E207)</f>
        <v/>
      </c>
      <c r="G207" s="11">
        <f>IF(B207="","",G206-F207)</f>
        <v/>
      </c>
    </row>
    <row r="208">
      <c r="B208" s="7">
        <f>IF(199&lt;=$H$4,199,"")</f>
        <v/>
      </c>
      <c r="C208" s="14">
        <f>IF(B208="","",EDATE($D$7,199-1))</f>
        <v/>
      </c>
      <c r="D208" s="11">
        <f>IF(B208="","",$H$5)</f>
        <v/>
      </c>
      <c r="E208" s="11">
        <f>IF(B208="","",G207*$D$5/12)</f>
        <v/>
      </c>
      <c r="F208" s="11">
        <f>IF(B208="","",D208-E208)</f>
        <v/>
      </c>
      <c r="G208" s="11">
        <f>IF(B208="","",G207-F208)</f>
        <v/>
      </c>
    </row>
    <row r="209">
      <c r="B209" s="7">
        <f>IF(200&lt;=$H$4,200,"")</f>
        <v/>
      </c>
      <c r="C209" s="14">
        <f>IF(B209="","",EDATE($D$7,200-1))</f>
        <v/>
      </c>
      <c r="D209" s="11">
        <f>IF(B209="","",$H$5)</f>
        <v/>
      </c>
      <c r="E209" s="11">
        <f>IF(B209="","",G208*$D$5/12)</f>
        <v/>
      </c>
      <c r="F209" s="11">
        <f>IF(B209="","",D209-E209)</f>
        <v/>
      </c>
      <c r="G209" s="11">
        <f>IF(B209="","",G208-F209)</f>
        <v/>
      </c>
    </row>
    <row r="210">
      <c r="B210" s="7">
        <f>IF(201&lt;=$H$4,201,"")</f>
        <v/>
      </c>
      <c r="C210" s="14">
        <f>IF(B210="","",EDATE($D$7,201-1))</f>
        <v/>
      </c>
      <c r="D210" s="11">
        <f>IF(B210="","",$H$5)</f>
        <v/>
      </c>
      <c r="E210" s="11">
        <f>IF(B210="","",G209*$D$5/12)</f>
        <v/>
      </c>
      <c r="F210" s="11">
        <f>IF(B210="","",D210-E210)</f>
        <v/>
      </c>
      <c r="G210" s="11">
        <f>IF(B210="","",G209-F210)</f>
        <v/>
      </c>
    </row>
    <row r="211">
      <c r="B211" s="7">
        <f>IF(202&lt;=$H$4,202,"")</f>
        <v/>
      </c>
      <c r="C211" s="14">
        <f>IF(B211="","",EDATE($D$7,202-1))</f>
        <v/>
      </c>
      <c r="D211" s="11">
        <f>IF(B211="","",$H$5)</f>
        <v/>
      </c>
      <c r="E211" s="11">
        <f>IF(B211="","",G210*$D$5/12)</f>
        <v/>
      </c>
      <c r="F211" s="11">
        <f>IF(B211="","",D211-E211)</f>
        <v/>
      </c>
      <c r="G211" s="11">
        <f>IF(B211="","",G210-F211)</f>
        <v/>
      </c>
    </row>
    <row r="212">
      <c r="B212" s="7">
        <f>IF(203&lt;=$H$4,203,"")</f>
        <v/>
      </c>
      <c r="C212" s="14">
        <f>IF(B212="","",EDATE($D$7,203-1))</f>
        <v/>
      </c>
      <c r="D212" s="11">
        <f>IF(B212="","",$H$5)</f>
        <v/>
      </c>
      <c r="E212" s="11">
        <f>IF(B212="","",G211*$D$5/12)</f>
        <v/>
      </c>
      <c r="F212" s="11">
        <f>IF(B212="","",D212-E212)</f>
        <v/>
      </c>
      <c r="G212" s="11">
        <f>IF(B212="","",G211-F212)</f>
        <v/>
      </c>
    </row>
    <row r="213">
      <c r="B213" s="7">
        <f>IF(204&lt;=$H$4,204,"")</f>
        <v/>
      </c>
      <c r="C213" s="14">
        <f>IF(B213="","",EDATE($D$7,204-1))</f>
        <v/>
      </c>
      <c r="D213" s="11">
        <f>IF(B213="","",$H$5)</f>
        <v/>
      </c>
      <c r="E213" s="11">
        <f>IF(B213="","",G212*$D$5/12)</f>
        <v/>
      </c>
      <c r="F213" s="11">
        <f>IF(B213="","",D213-E213)</f>
        <v/>
      </c>
      <c r="G213" s="11">
        <f>IF(B213="","",G212-F213)</f>
        <v/>
      </c>
    </row>
    <row r="214">
      <c r="B214" s="7">
        <f>IF(205&lt;=$H$4,205,"")</f>
        <v/>
      </c>
      <c r="C214" s="14">
        <f>IF(B214="","",EDATE($D$7,205-1))</f>
        <v/>
      </c>
      <c r="D214" s="11">
        <f>IF(B214="","",$H$5)</f>
        <v/>
      </c>
      <c r="E214" s="11">
        <f>IF(B214="","",G213*$D$5/12)</f>
        <v/>
      </c>
      <c r="F214" s="11">
        <f>IF(B214="","",D214-E214)</f>
        <v/>
      </c>
      <c r="G214" s="11">
        <f>IF(B214="","",G213-F214)</f>
        <v/>
      </c>
    </row>
    <row r="215">
      <c r="B215" s="7">
        <f>IF(206&lt;=$H$4,206,"")</f>
        <v/>
      </c>
      <c r="C215" s="14">
        <f>IF(B215="","",EDATE($D$7,206-1))</f>
        <v/>
      </c>
      <c r="D215" s="11">
        <f>IF(B215="","",$H$5)</f>
        <v/>
      </c>
      <c r="E215" s="11">
        <f>IF(B215="","",G214*$D$5/12)</f>
        <v/>
      </c>
      <c r="F215" s="11">
        <f>IF(B215="","",D215-E215)</f>
        <v/>
      </c>
      <c r="G215" s="11">
        <f>IF(B215="","",G214-F215)</f>
        <v/>
      </c>
    </row>
    <row r="216">
      <c r="B216" s="7">
        <f>IF(207&lt;=$H$4,207,"")</f>
        <v/>
      </c>
      <c r="C216" s="14">
        <f>IF(B216="","",EDATE($D$7,207-1))</f>
        <v/>
      </c>
      <c r="D216" s="11">
        <f>IF(B216="","",$H$5)</f>
        <v/>
      </c>
      <c r="E216" s="11">
        <f>IF(B216="","",G215*$D$5/12)</f>
        <v/>
      </c>
      <c r="F216" s="11">
        <f>IF(B216="","",D216-E216)</f>
        <v/>
      </c>
      <c r="G216" s="11">
        <f>IF(B216="","",G215-F216)</f>
        <v/>
      </c>
    </row>
    <row r="217">
      <c r="B217" s="7">
        <f>IF(208&lt;=$H$4,208,"")</f>
        <v/>
      </c>
      <c r="C217" s="14">
        <f>IF(B217="","",EDATE($D$7,208-1))</f>
        <v/>
      </c>
      <c r="D217" s="11">
        <f>IF(B217="","",$H$5)</f>
        <v/>
      </c>
      <c r="E217" s="11">
        <f>IF(B217="","",G216*$D$5/12)</f>
        <v/>
      </c>
      <c r="F217" s="11">
        <f>IF(B217="","",D217-E217)</f>
        <v/>
      </c>
      <c r="G217" s="11">
        <f>IF(B217="","",G216-F217)</f>
        <v/>
      </c>
    </row>
    <row r="218">
      <c r="B218" s="7">
        <f>IF(209&lt;=$H$4,209,"")</f>
        <v/>
      </c>
      <c r="C218" s="14">
        <f>IF(B218="","",EDATE($D$7,209-1))</f>
        <v/>
      </c>
      <c r="D218" s="11">
        <f>IF(B218="","",$H$5)</f>
        <v/>
      </c>
      <c r="E218" s="11">
        <f>IF(B218="","",G217*$D$5/12)</f>
        <v/>
      </c>
      <c r="F218" s="11">
        <f>IF(B218="","",D218-E218)</f>
        <v/>
      </c>
      <c r="G218" s="11">
        <f>IF(B218="","",G217-F218)</f>
        <v/>
      </c>
    </row>
    <row r="219">
      <c r="B219" s="7">
        <f>IF(210&lt;=$H$4,210,"")</f>
        <v/>
      </c>
      <c r="C219" s="14">
        <f>IF(B219="","",EDATE($D$7,210-1))</f>
        <v/>
      </c>
      <c r="D219" s="11">
        <f>IF(B219="","",$H$5)</f>
        <v/>
      </c>
      <c r="E219" s="11">
        <f>IF(B219="","",G218*$D$5/12)</f>
        <v/>
      </c>
      <c r="F219" s="11">
        <f>IF(B219="","",D219-E219)</f>
        <v/>
      </c>
      <c r="G219" s="11">
        <f>IF(B219="","",G218-F219)</f>
        <v/>
      </c>
    </row>
    <row r="220">
      <c r="B220" s="7">
        <f>IF(211&lt;=$H$4,211,"")</f>
        <v/>
      </c>
      <c r="C220" s="14">
        <f>IF(B220="","",EDATE($D$7,211-1))</f>
        <v/>
      </c>
      <c r="D220" s="11">
        <f>IF(B220="","",$H$5)</f>
        <v/>
      </c>
      <c r="E220" s="11">
        <f>IF(B220="","",G219*$D$5/12)</f>
        <v/>
      </c>
      <c r="F220" s="11">
        <f>IF(B220="","",D220-E220)</f>
        <v/>
      </c>
      <c r="G220" s="11">
        <f>IF(B220="","",G219-F220)</f>
        <v/>
      </c>
    </row>
    <row r="221">
      <c r="B221" s="7">
        <f>IF(212&lt;=$H$4,212,"")</f>
        <v/>
      </c>
      <c r="C221" s="14">
        <f>IF(B221="","",EDATE($D$7,212-1))</f>
        <v/>
      </c>
      <c r="D221" s="11">
        <f>IF(B221="","",$H$5)</f>
        <v/>
      </c>
      <c r="E221" s="11">
        <f>IF(B221="","",G220*$D$5/12)</f>
        <v/>
      </c>
      <c r="F221" s="11">
        <f>IF(B221="","",D221-E221)</f>
        <v/>
      </c>
      <c r="G221" s="11">
        <f>IF(B221="","",G220-F221)</f>
        <v/>
      </c>
    </row>
    <row r="222">
      <c r="B222" s="7">
        <f>IF(213&lt;=$H$4,213,"")</f>
        <v/>
      </c>
      <c r="C222" s="14">
        <f>IF(B222="","",EDATE($D$7,213-1))</f>
        <v/>
      </c>
      <c r="D222" s="11">
        <f>IF(B222="","",$H$5)</f>
        <v/>
      </c>
      <c r="E222" s="11">
        <f>IF(B222="","",G221*$D$5/12)</f>
        <v/>
      </c>
      <c r="F222" s="11">
        <f>IF(B222="","",D222-E222)</f>
        <v/>
      </c>
      <c r="G222" s="11">
        <f>IF(B222="","",G221-F222)</f>
        <v/>
      </c>
    </row>
    <row r="223">
      <c r="B223" s="7">
        <f>IF(214&lt;=$H$4,214,"")</f>
        <v/>
      </c>
      <c r="C223" s="14">
        <f>IF(B223="","",EDATE($D$7,214-1))</f>
        <v/>
      </c>
      <c r="D223" s="11">
        <f>IF(B223="","",$H$5)</f>
        <v/>
      </c>
      <c r="E223" s="11">
        <f>IF(B223="","",G222*$D$5/12)</f>
        <v/>
      </c>
      <c r="F223" s="11">
        <f>IF(B223="","",D223-E223)</f>
        <v/>
      </c>
      <c r="G223" s="11">
        <f>IF(B223="","",G222-F223)</f>
        <v/>
      </c>
    </row>
    <row r="224">
      <c r="B224" s="7">
        <f>IF(215&lt;=$H$4,215,"")</f>
        <v/>
      </c>
      <c r="C224" s="14">
        <f>IF(B224="","",EDATE($D$7,215-1))</f>
        <v/>
      </c>
      <c r="D224" s="11">
        <f>IF(B224="","",$H$5)</f>
        <v/>
      </c>
      <c r="E224" s="11">
        <f>IF(B224="","",G223*$D$5/12)</f>
        <v/>
      </c>
      <c r="F224" s="11">
        <f>IF(B224="","",D224-E224)</f>
        <v/>
      </c>
      <c r="G224" s="11">
        <f>IF(B224="","",G223-F224)</f>
        <v/>
      </c>
    </row>
    <row r="225">
      <c r="B225" s="7">
        <f>IF(216&lt;=$H$4,216,"")</f>
        <v/>
      </c>
      <c r="C225" s="14">
        <f>IF(B225="","",EDATE($D$7,216-1))</f>
        <v/>
      </c>
      <c r="D225" s="11">
        <f>IF(B225="","",$H$5)</f>
        <v/>
      </c>
      <c r="E225" s="11">
        <f>IF(B225="","",G224*$D$5/12)</f>
        <v/>
      </c>
      <c r="F225" s="11">
        <f>IF(B225="","",D225-E225)</f>
        <v/>
      </c>
      <c r="G225" s="11">
        <f>IF(B225="","",G224-F225)</f>
        <v/>
      </c>
    </row>
    <row r="226">
      <c r="B226" s="7">
        <f>IF(217&lt;=$H$4,217,"")</f>
        <v/>
      </c>
      <c r="C226" s="14">
        <f>IF(B226="","",EDATE($D$7,217-1))</f>
        <v/>
      </c>
      <c r="D226" s="11">
        <f>IF(B226="","",$H$5)</f>
        <v/>
      </c>
      <c r="E226" s="11">
        <f>IF(B226="","",G225*$D$5/12)</f>
        <v/>
      </c>
      <c r="F226" s="11">
        <f>IF(B226="","",D226-E226)</f>
        <v/>
      </c>
      <c r="G226" s="11">
        <f>IF(B226="","",G225-F226)</f>
        <v/>
      </c>
    </row>
    <row r="227">
      <c r="B227" s="7">
        <f>IF(218&lt;=$H$4,218,"")</f>
        <v/>
      </c>
      <c r="C227" s="14">
        <f>IF(B227="","",EDATE($D$7,218-1))</f>
        <v/>
      </c>
      <c r="D227" s="11">
        <f>IF(B227="","",$H$5)</f>
        <v/>
      </c>
      <c r="E227" s="11">
        <f>IF(B227="","",G226*$D$5/12)</f>
        <v/>
      </c>
      <c r="F227" s="11">
        <f>IF(B227="","",D227-E227)</f>
        <v/>
      </c>
      <c r="G227" s="11">
        <f>IF(B227="","",G226-F227)</f>
        <v/>
      </c>
    </row>
    <row r="228">
      <c r="B228" s="7">
        <f>IF(219&lt;=$H$4,219,"")</f>
        <v/>
      </c>
      <c r="C228" s="14">
        <f>IF(B228="","",EDATE($D$7,219-1))</f>
        <v/>
      </c>
      <c r="D228" s="11">
        <f>IF(B228="","",$H$5)</f>
        <v/>
      </c>
      <c r="E228" s="11">
        <f>IF(B228="","",G227*$D$5/12)</f>
        <v/>
      </c>
      <c r="F228" s="11">
        <f>IF(B228="","",D228-E228)</f>
        <v/>
      </c>
      <c r="G228" s="11">
        <f>IF(B228="","",G227-F228)</f>
        <v/>
      </c>
    </row>
    <row r="229">
      <c r="B229" s="7">
        <f>IF(220&lt;=$H$4,220,"")</f>
        <v/>
      </c>
      <c r="C229" s="14">
        <f>IF(B229="","",EDATE($D$7,220-1))</f>
        <v/>
      </c>
      <c r="D229" s="11">
        <f>IF(B229="","",$H$5)</f>
        <v/>
      </c>
      <c r="E229" s="11">
        <f>IF(B229="","",G228*$D$5/12)</f>
        <v/>
      </c>
      <c r="F229" s="11">
        <f>IF(B229="","",D229-E229)</f>
        <v/>
      </c>
      <c r="G229" s="11">
        <f>IF(B229="","",G228-F229)</f>
        <v/>
      </c>
    </row>
    <row r="230">
      <c r="B230" s="7">
        <f>IF(221&lt;=$H$4,221,"")</f>
        <v/>
      </c>
      <c r="C230" s="14">
        <f>IF(B230="","",EDATE($D$7,221-1))</f>
        <v/>
      </c>
      <c r="D230" s="11">
        <f>IF(B230="","",$H$5)</f>
        <v/>
      </c>
      <c r="E230" s="11">
        <f>IF(B230="","",G229*$D$5/12)</f>
        <v/>
      </c>
      <c r="F230" s="11">
        <f>IF(B230="","",D230-E230)</f>
        <v/>
      </c>
      <c r="G230" s="11">
        <f>IF(B230="","",G229-F230)</f>
        <v/>
      </c>
    </row>
    <row r="231">
      <c r="B231" s="7">
        <f>IF(222&lt;=$H$4,222,"")</f>
        <v/>
      </c>
      <c r="C231" s="14">
        <f>IF(B231="","",EDATE($D$7,222-1))</f>
        <v/>
      </c>
      <c r="D231" s="11">
        <f>IF(B231="","",$H$5)</f>
        <v/>
      </c>
      <c r="E231" s="11">
        <f>IF(B231="","",G230*$D$5/12)</f>
        <v/>
      </c>
      <c r="F231" s="11">
        <f>IF(B231="","",D231-E231)</f>
        <v/>
      </c>
      <c r="G231" s="11">
        <f>IF(B231="","",G230-F231)</f>
        <v/>
      </c>
    </row>
    <row r="232">
      <c r="B232" s="7">
        <f>IF(223&lt;=$H$4,223,"")</f>
        <v/>
      </c>
      <c r="C232" s="14">
        <f>IF(B232="","",EDATE($D$7,223-1))</f>
        <v/>
      </c>
      <c r="D232" s="11">
        <f>IF(B232="","",$H$5)</f>
        <v/>
      </c>
      <c r="E232" s="11">
        <f>IF(B232="","",G231*$D$5/12)</f>
        <v/>
      </c>
      <c r="F232" s="11">
        <f>IF(B232="","",D232-E232)</f>
        <v/>
      </c>
      <c r="G232" s="11">
        <f>IF(B232="","",G231-F232)</f>
        <v/>
      </c>
    </row>
    <row r="233">
      <c r="B233" s="7">
        <f>IF(224&lt;=$H$4,224,"")</f>
        <v/>
      </c>
      <c r="C233" s="14">
        <f>IF(B233="","",EDATE($D$7,224-1))</f>
        <v/>
      </c>
      <c r="D233" s="11">
        <f>IF(B233="","",$H$5)</f>
        <v/>
      </c>
      <c r="E233" s="11">
        <f>IF(B233="","",G232*$D$5/12)</f>
        <v/>
      </c>
      <c r="F233" s="11">
        <f>IF(B233="","",D233-E233)</f>
        <v/>
      </c>
      <c r="G233" s="11">
        <f>IF(B233="","",G232-F233)</f>
        <v/>
      </c>
    </row>
    <row r="234">
      <c r="B234" s="7">
        <f>IF(225&lt;=$H$4,225,"")</f>
        <v/>
      </c>
      <c r="C234" s="14">
        <f>IF(B234="","",EDATE($D$7,225-1))</f>
        <v/>
      </c>
      <c r="D234" s="11">
        <f>IF(B234="","",$H$5)</f>
        <v/>
      </c>
      <c r="E234" s="11">
        <f>IF(B234="","",G233*$D$5/12)</f>
        <v/>
      </c>
      <c r="F234" s="11">
        <f>IF(B234="","",D234-E234)</f>
        <v/>
      </c>
      <c r="G234" s="11">
        <f>IF(B234="","",G233-F234)</f>
        <v/>
      </c>
    </row>
    <row r="235">
      <c r="B235" s="7">
        <f>IF(226&lt;=$H$4,226,"")</f>
        <v/>
      </c>
      <c r="C235" s="14">
        <f>IF(B235="","",EDATE($D$7,226-1))</f>
        <v/>
      </c>
      <c r="D235" s="11">
        <f>IF(B235="","",$H$5)</f>
        <v/>
      </c>
      <c r="E235" s="11">
        <f>IF(B235="","",G234*$D$5/12)</f>
        <v/>
      </c>
      <c r="F235" s="11">
        <f>IF(B235="","",D235-E235)</f>
        <v/>
      </c>
      <c r="G235" s="11">
        <f>IF(B235="","",G234-F235)</f>
        <v/>
      </c>
    </row>
    <row r="236">
      <c r="B236" s="7">
        <f>IF(227&lt;=$H$4,227,"")</f>
        <v/>
      </c>
      <c r="C236" s="14">
        <f>IF(B236="","",EDATE($D$7,227-1))</f>
        <v/>
      </c>
      <c r="D236" s="11">
        <f>IF(B236="","",$H$5)</f>
        <v/>
      </c>
      <c r="E236" s="11">
        <f>IF(B236="","",G235*$D$5/12)</f>
        <v/>
      </c>
      <c r="F236" s="11">
        <f>IF(B236="","",D236-E236)</f>
        <v/>
      </c>
      <c r="G236" s="11">
        <f>IF(B236="","",G235-F236)</f>
        <v/>
      </c>
    </row>
    <row r="237">
      <c r="B237" s="7">
        <f>IF(228&lt;=$H$4,228,"")</f>
        <v/>
      </c>
      <c r="C237" s="14">
        <f>IF(B237="","",EDATE($D$7,228-1))</f>
        <v/>
      </c>
      <c r="D237" s="11">
        <f>IF(B237="","",$H$5)</f>
        <v/>
      </c>
      <c r="E237" s="11">
        <f>IF(B237="","",G236*$D$5/12)</f>
        <v/>
      </c>
      <c r="F237" s="11">
        <f>IF(B237="","",D237-E237)</f>
        <v/>
      </c>
      <c r="G237" s="11">
        <f>IF(B237="","",G236-F237)</f>
        <v/>
      </c>
    </row>
    <row r="238">
      <c r="B238" s="7">
        <f>IF(229&lt;=$H$4,229,"")</f>
        <v/>
      </c>
      <c r="C238" s="14">
        <f>IF(B238="","",EDATE($D$7,229-1))</f>
        <v/>
      </c>
      <c r="D238" s="11">
        <f>IF(B238="","",$H$5)</f>
        <v/>
      </c>
      <c r="E238" s="11">
        <f>IF(B238="","",G237*$D$5/12)</f>
        <v/>
      </c>
      <c r="F238" s="11">
        <f>IF(B238="","",D238-E238)</f>
        <v/>
      </c>
      <c r="G238" s="11">
        <f>IF(B238="","",G237-F238)</f>
        <v/>
      </c>
    </row>
    <row r="239">
      <c r="B239" s="7">
        <f>IF(230&lt;=$H$4,230,"")</f>
        <v/>
      </c>
      <c r="C239" s="14">
        <f>IF(B239="","",EDATE($D$7,230-1))</f>
        <v/>
      </c>
      <c r="D239" s="11">
        <f>IF(B239="","",$H$5)</f>
        <v/>
      </c>
      <c r="E239" s="11">
        <f>IF(B239="","",G238*$D$5/12)</f>
        <v/>
      </c>
      <c r="F239" s="11">
        <f>IF(B239="","",D239-E239)</f>
        <v/>
      </c>
      <c r="G239" s="11">
        <f>IF(B239="","",G238-F239)</f>
        <v/>
      </c>
    </row>
    <row r="240">
      <c r="B240" s="7">
        <f>IF(231&lt;=$H$4,231,"")</f>
        <v/>
      </c>
      <c r="C240" s="14">
        <f>IF(B240="","",EDATE($D$7,231-1))</f>
        <v/>
      </c>
      <c r="D240" s="11">
        <f>IF(B240="","",$H$5)</f>
        <v/>
      </c>
      <c r="E240" s="11">
        <f>IF(B240="","",G239*$D$5/12)</f>
        <v/>
      </c>
      <c r="F240" s="11">
        <f>IF(B240="","",D240-E240)</f>
        <v/>
      </c>
      <c r="G240" s="11">
        <f>IF(B240="","",G239-F240)</f>
        <v/>
      </c>
    </row>
    <row r="241">
      <c r="B241" s="7">
        <f>IF(232&lt;=$H$4,232,"")</f>
        <v/>
      </c>
      <c r="C241" s="14">
        <f>IF(B241="","",EDATE($D$7,232-1))</f>
        <v/>
      </c>
      <c r="D241" s="11">
        <f>IF(B241="","",$H$5)</f>
        <v/>
      </c>
      <c r="E241" s="11">
        <f>IF(B241="","",G240*$D$5/12)</f>
        <v/>
      </c>
      <c r="F241" s="11">
        <f>IF(B241="","",D241-E241)</f>
        <v/>
      </c>
      <c r="G241" s="11">
        <f>IF(B241="","",G240-F241)</f>
        <v/>
      </c>
    </row>
    <row r="242">
      <c r="B242" s="7">
        <f>IF(233&lt;=$H$4,233,"")</f>
        <v/>
      </c>
      <c r="C242" s="14">
        <f>IF(B242="","",EDATE($D$7,233-1))</f>
        <v/>
      </c>
      <c r="D242" s="11">
        <f>IF(B242="","",$H$5)</f>
        <v/>
      </c>
      <c r="E242" s="11">
        <f>IF(B242="","",G241*$D$5/12)</f>
        <v/>
      </c>
      <c r="F242" s="11">
        <f>IF(B242="","",D242-E242)</f>
        <v/>
      </c>
      <c r="G242" s="11">
        <f>IF(B242="","",G241-F242)</f>
        <v/>
      </c>
    </row>
    <row r="243">
      <c r="B243" s="7">
        <f>IF(234&lt;=$H$4,234,"")</f>
        <v/>
      </c>
      <c r="C243" s="14">
        <f>IF(B243="","",EDATE($D$7,234-1))</f>
        <v/>
      </c>
      <c r="D243" s="11">
        <f>IF(B243="","",$H$5)</f>
        <v/>
      </c>
      <c r="E243" s="11">
        <f>IF(B243="","",G242*$D$5/12)</f>
        <v/>
      </c>
      <c r="F243" s="11">
        <f>IF(B243="","",D243-E243)</f>
        <v/>
      </c>
      <c r="G243" s="11">
        <f>IF(B243="","",G242-F243)</f>
        <v/>
      </c>
    </row>
    <row r="244">
      <c r="B244" s="7">
        <f>IF(235&lt;=$H$4,235,"")</f>
        <v/>
      </c>
      <c r="C244" s="14">
        <f>IF(B244="","",EDATE($D$7,235-1))</f>
        <v/>
      </c>
      <c r="D244" s="11">
        <f>IF(B244="","",$H$5)</f>
        <v/>
      </c>
      <c r="E244" s="11">
        <f>IF(B244="","",G243*$D$5/12)</f>
        <v/>
      </c>
      <c r="F244" s="11">
        <f>IF(B244="","",D244-E244)</f>
        <v/>
      </c>
      <c r="G244" s="11">
        <f>IF(B244="","",G243-F244)</f>
        <v/>
      </c>
    </row>
    <row r="245">
      <c r="B245" s="7">
        <f>IF(236&lt;=$H$4,236,"")</f>
        <v/>
      </c>
      <c r="C245" s="14">
        <f>IF(B245="","",EDATE($D$7,236-1))</f>
        <v/>
      </c>
      <c r="D245" s="11">
        <f>IF(B245="","",$H$5)</f>
        <v/>
      </c>
      <c r="E245" s="11">
        <f>IF(B245="","",G244*$D$5/12)</f>
        <v/>
      </c>
      <c r="F245" s="11">
        <f>IF(B245="","",D245-E245)</f>
        <v/>
      </c>
      <c r="G245" s="11">
        <f>IF(B245="","",G244-F245)</f>
        <v/>
      </c>
    </row>
    <row r="246">
      <c r="B246" s="7">
        <f>IF(237&lt;=$H$4,237,"")</f>
        <v/>
      </c>
      <c r="C246" s="14">
        <f>IF(B246="","",EDATE($D$7,237-1))</f>
        <v/>
      </c>
      <c r="D246" s="11">
        <f>IF(B246="","",$H$5)</f>
        <v/>
      </c>
      <c r="E246" s="11">
        <f>IF(B246="","",G245*$D$5/12)</f>
        <v/>
      </c>
      <c r="F246" s="11">
        <f>IF(B246="","",D246-E246)</f>
        <v/>
      </c>
      <c r="G246" s="11">
        <f>IF(B246="","",G245-F246)</f>
        <v/>
      </c>
    </row>
    <row r="247">
      <c r="B247" s="7">
        <f>IF(238&lt;=$H$4,238,"")</f>
        <v/>
      </c>
      <c r="C247" s="14">
        <f>IF(B247="","",EDATE($D$7,238-1))</f>
        <v/>
      </c>
      <c r="D247" s="11">
        <f>IF(B247="","",$H$5)</f>
        <v/>
      </c>
      <c r="E247" s="11">
        <f>IF(B247="","",G246*$D$5/12)</f>
        <v/>
      </c>
      <c r="F247" s="11">
        <f>IF(B247="","",D247-E247)</f>
        <v/>
      </c>
      <c r="G247" s="11">
        <f>IF(B247="","",G246-F247)</f>
        <v/>
      </c>
    </row>
    <row r="248">
      <c r="B248" s="7">
        <f>IF(239&lt;=$H$4,239,"")</f>
        <v/>
      </c>
      <c r="C248" s="14">
        <f>IF(B248="","",EDATE($D$7,239-1))</f>
        <v/>
      </c>
      <c r="D248" s="11">
        <f>IF(B248="","",$H$5)</f>
        <v/>
      </c>
      <c r="E248" s="11">
        <f>IF(B248="","",G247*$D$5/12)</f>
        <v/>
      </c>
      <c r="F248" s="11">
        <f>IF(B248="","",D248-E248)</f>
        <v/>
      </c>
      <c r="G248" s="11">
        <f>IF(B248="","",G247-F248)</f>
        <v/>
      </c>
    </row>
    <row r="249">
      <c r="B249" s="7">
        <f>IF(240&lt;=$H$4,240,"")</f>
        <v/>
      </c>
      <c r="C249" s="14">
        <f>IF(B249="","",EDATE($D$7,240-1))</f>
        <v/>
      </c>
      <c r="D249" s="11">
        <f>IF(B249="","",$H$5)</f>
        <v/>
      </c>
      <c r="E249" s="11">
        <f>IF(B249="","",G248*$D$5/12)</f>
        <v/>
      </c>
      <c r="F249" s="11">
        <f>IF(B249="","",D249-E249)</f>
        <v/>
      </c>
      <c r="G249" s="11">
        <f>IF(B249="","",G248-F249)</f>
        <v/>
      </c>
    </row>
    <row r="250">
      <c r="B250" s="7">
        <f>IF(241&lt;=$H$4,241,"")</f>
        <v/>
      </c>
      <c r="C250" s="14">
        <f>IF(B250="","",EDATE($D$7,241-1))</f>
        <v/>
      </c>
      <c r="D250" s="11">
        <f>IF(B250="","",$H$5)</f>
        <v/>
      </c>
      <c r="E250" s="11">
        <f>IF(B250="","",G249*$D$5/12)</f>
        <v/>
      </c>
      <c r="F250" s="11">
        <f>IF(B250="","",D250-E250)</f>
        <v/>
      </c>
      <c r="G250" s="11">
        <f>IF(B250="","",G249-F250)</f>
        <v/>
      </c>
    </row>
    <row r="251">
      <c r="B251" s="7">
        <f>IF(242&lt;=$H$4,242,"")</f>
        <v/>
      </c>
      <c r="C251" s="14">
        <f>IF(B251="","",EDATE($D$7,242-1))</f>
        <v/>
      </c>
      <c r="D251" s="11">
        <f>IF(B251="","",$H$5)</f>
        <v/>
      </c>
      <c r="E251" s="11">
        <f>IF(B251="","",G250*$D$5/12)</f>
        <v/>
      </c>
      <c r="F251" s="11">
        <f>IF(B251="","",D251-E251)</f>
        <v/>
      </c>
      <c r="G251" s="11">
        <f>IF(B251="","",G250-F251)</f>
        <v/>
      </c>
    </row>
    <row r="252">
      <c r="B252" s="7">
        <f>IF(243&lt;=$H$4,243,"")</f>
        <v/>
      </c>
      <c r="C252" s="14">
        <f>IF(B252="","",EDATE($D$7,243-1))</f>
        <v/>
      </c>
      <c r="D252" s="11">
        <f>IF(B252="","",$H$5)</f>
        <v/>
      </c>
      <c r="E252" s="11">
        <f>IF(B252="","",G251*$D$5/12)</f>
        <v/>
      </c>
      <c r="F252" s="11">
        <f>IF(B252="","",D252-E252)</f>
        <v/>
      </c>
      <c r="G252" s="11">
        <f>IF(B252="","",G251-F252)</f>
        <v/>
      </c>
    </row>
    <row r="253">
      <c r="B253" s="7">
        <f>IF(244&lt;=$H$4,244,"")</f>
        <v/>
      </c>
      <c r="C253" s="14">
        <f>IF(B253="","",EDATE($D$7,244-1))</f>
        <v/>
      </c>
      <c r="D253" s="11">
        <f>IF(B253="","",$H$5)</f>
        <v/>
      </c>
      <c r="E253" s="11">
        <f>IF(B253="","",G252*$D$5/12)</f>
        <v/>
      </c>
      <c r="F253" s="11">
        <f>IF(B253="","",D253-E253)</f>
        <v/>
      </c>
      <c r="G253" s="11">
        <f>IF(B253="","",G252-F253)</f>
        <v/>
      </c>
    </row>
    <row r="254">
      <c r="B254" s="7">
        <f>IF(245&lt;=$H$4,245,"")</f>
        <v/>
      </c>
      <c r="C254" s="14">
        <f>IF(B254="","",EDATE($D$7,245-1))</f>
        <v/>
      </c>
      <c r="D254" s="11">
        <f>IF(B254="","",$H$5)</f>
        <v/>
      </c>
      <c r="E254" s="11">
        <f>IF(B254="","",G253*$D$5/12)</f>
        <v/>
      </c>
      <c r="F254" s="11">
        <f>IF(B254="","",D254-E254)</f>
        <v/>
      </c>
      <c r="G254" s="11">
        <f>IF(B254="","",G253-F254)</f>
        <v/>
      </c>
    </row>
    <row r="255">
      <c r="B255" s="7">
        <f>IF(246&lt;=$H$4,246,"")</f>
        <v/>
      </c>
      <c r="C255" s="14">
        <f>IF(B255="","",EDATE($D$7,246-1))</f>
        <v/>
      </c>
      <c r="D255" s="11">
        <f>IF(B255="","",$H$5)</f>
        <v/>
      </c>
      <c r="E255" s="11">
        <f>IF(B255="","",G254*$D$5/12)</f>
        <v/>
      </c>
      <c r="F255" s="11">
        <f>IF(B255="","",D255-E255)</f>
        <v/>
      </c>
      <c r="G255" s="11">
        <f>IF(B255="","",G254-F255)</f>
        <v/>
      </c>
    </row>
    <row r="256">
      <c r="B256" s="7">
        <f>IF(247&lt;=$H$4,247,"")</f>
        <v/>
      </c>
      <c r="C256" s="14">
        <f>IF(B256="","",EDATE($D$7,247-1))</f>
        <v/>
      </c>
      <c r="D256" s="11">
        <f>IF(B256="","",$H$5)</f>
        <v/>
      </c>
      <c r="E256" s="11">
        <f>IF(B256="","",G255*$D$5/12)</f>
        <v/>
      </c>
      <c r="F256" s="11">
        <f>IF(B256="","",D256-E256)</f>
        <v/>
      </c>
      <c r="G256" s="11">
        <f>IF(B256="","",G255-F256)</f>
        <v/>
      </c>
    </row>
    <row r="257">
      <c r="B257" s="7">
        <f>IF(248&lt;=$H$4,248,"")</f>
        <v/>
      </c>
      <c r="C257" s="14">
        <f>IF(B257="","",EDATE($D$7,248-1))</f>
        <v/>
      </c>
      <c r="D257" s="11">
        <f>IF(B257="","",$H$5)</f>
        <v/>
      </c>
      <c r="E257" s="11">
        <f>IF(B257="","",G256*$D$5/12)</f>
        <v/>
      </c>
      <c r="F257" s="11">
        <f>IF(B257="","",D257-E257)</f>
        <v/>
      </c>
      <c r="G257" s="11">
        <f>IF(B257="","",G256-F257)</f>
        <v/>
      </c>
    </row>
    <row r="258">
      <c r="B258" s="7">
        <f>IF(249&lt;=$H$4,249,"")</f>
        <v/>
      </c>
      <c r="C258" s="14">
        <f>IF(B258="","",EDATE($D$7,249-1))</f>
        <v/>
      </c>
      <c r="D258" s="11">
        <f>IF(B258="","",$H$5)</f>
        <v/>
      </c>
      <c r="E258" s="11">
        <f>IF(B258="","",G257*$D$5/12)</f>
        <v/>
      </c>
      <c r="F258" s="11">
        <f>IF(B258="","",D258-E258)</f>
        <v/>
      </c>
      <c r="G258" s="11">
        <f>IF(B258="","",G257-F258)</f>
        <v/>
      </c>
    </row>
    <row r="259">
      <c r="B259" s="7">
        <f>IF(250&lt;=$H$4,250,"")</f>
        <v/>
      </c>
      <c r="C259" s="14">
        <f>IF(B259="","",EDATE($D$7,250-1))</f>
        <v/>
      </c>
      <c r="D259" s="11">
        <f>IF(B259="","",$H$5)</f>
        <v/>
      </c>
      <c r="E259" s="11">
        <f>IF(B259="","",G258*$D$5/12)</f>
        <v/>
      </c>
      <c r="F259" s="11">
        <f>IF(B259="","",D259-E259)</f>
        <v/>
      </c>
      <c r="G259" s="11">
        <f>IF(B259="","",G258-F259)</f>
        <v/>
      </c>
    </row>
    <row r="260">
      <c r="B260" s="7">
        <f>IF(251&lt;=$H$4,251,"")</f>
        <v/>
      </c>
      <c r="C260" s="14">
        <f>IF(B260="","",EDATE($D$7,251-1))</f>
        <v/>
      </c>
      <c r="D260" s="11">
        <f>IF(B260="","",$H$5)</f>
        <v/>
      </c>
      <c r="E260" s="11">
        <f>IF(B260="","",G259*$D$5/12)</f>
        <v/>
      </c>
      <c r="F260" s="11">
        <f>IF(B260="","",D260-E260)</f>
        <v/>
      </c>
      <c r="G260" s="11">
        <f>IF(B260="","",G259-F260)</f>
        <v/>
      </c>
    </row>
    <row r="261">
      <c r="B261" s="7">
        <f>IF(252&lt;=$H$4,252,"")</f>
        <v/>
      </c>
      <c r="C261" s="14">
        <f>IF(B261="","",EDATE($D$7,252-1))</f>
        <v/>
      </c>
      <c r="D261" s="11">
        <f>IF(B261="","",$H$5)</f>
        <v/>
      </c>
      <c r="E261" s="11">
        <f>IF(B261="","",G260*$D$5/12)</f>
        <v/>
      </c>
      <c r="F261" s="11">
        <f>IF(B261="","",D261-E261)</f>
        <v/>
      </c>
      <c r="G261" s="11">
        <f>IF(B261="","",G260-F261)</f>
        <v/>
      </c>
    </row>
    <row r="262">
      <c r="B262" s="7">
        <f>IF(253&lt;=$H$4,253,"")</f>
        <v/>
      </c>
      <c r="C262" s="14">
        <f>IF(B262="","",EDATE($D$7,253-1))</f>
        <v/>
      </c>
      <c r="D262" s="11">
        <f>IF(B262="","",$H$5)</f>
        <v/>
      </c>
      <c r="E262" s="11">
        <f>IF(B262="","",G261*$D$5/12)</f>
        <v/>
      </c>
      <c r="F262" s="11">
        <f>IF(B262="","",D262-E262)</f>
        <v/>
      </c>
      <c r="G262" s="11">
        <f>IF(B262="","",G261-F262)</f>
        <v/>
      </c>
    </row>
    <row r="263">
      <c r="B263" s="7">
        <f>IF(254&lt;=$H$4,254,"")</f>
        <v/>
      </c>
      <c r="C263" s="14">
        <f>IF(B263="","",EDATE($D$7,254-1))</f>
        <v/>
      </c>
      <c r="D263" s="11">
        <f>IF(B263="","",$H$5)</f>
        <v/>
      </c>
      <c r="E263" s="11">
        <f>IF(B263="","",G262*$D$5/12)</f>
        <v/>
      </c>
      <c r="F263" s="11">
        <f>IF(B263="","",D263-E263)</f>
        <v/>
      </c>
      <c r="G263" s="11">
        <f>IF(B263="","",G262-F263)</f>
        <v/>
      </c>
    </row>
    <row r="264">
      <c r="B264" s="7">
        <f>IF(255&lt;=$H$4,255,"")</f>
        <v/>
      </c>
      <c r="C264" s="14">
        <f>IF(B264="","",EDATE($D$7,255-1))</f>
        <v/>
      </c>
      <c r="D264" s="11">
        <f>IF(B264="","",$H$5)</f>
        <v/>
      </c>
      <c r="E264" s="11">
        <f>IF(B264="","",G263*$D$5/12)</f>
        <v/>
      </c>
      <c r="F264" s="11">
        <f>IF(B264="","",D264-E264)</f>
        <v/>
      </c>
      <c r="G264" s="11">
        <f>IF(B264="","",G263-F264)</f>
        <v/>
      </c>
    </row>
    <row r="265">
      <c r="B265" s="7">
        <f>IF(256&lt;=$H$4,256,"")</f>
        <v/>
      </c>
      <c r="C265" s="14">
        <f>IF(B265="","",EDATE($D$7,256-1))</f>
        <v/>
      </c>
      <c r="D265" s="11">
        <f>IF(B265="","",$H$5)</f>
        <v/>
      </c>
      <c r="E265" s="11">
        <f>IF(B265="","",G264*$D$5/12)</f>
        <v/>
      </c>
      <c r="F265" s="11">
        <f>IF(B265="","",D265-E265)</f>
        <v/>
      </c>
      <c r="G265" s="11">
        <f>IF(B265="","",G264-F265)</f>
        <v/>
      </c>
    </row>
    <row r="266">
      <c r="B266" s="7">
        <f>IF(257&lt;=$H$4,257,"")</f>
        <v/>
      </c>
      <c r="C266" s="14">
        <f>IF(B266="","",EDATE($D$7,257-1))</f>
        <v/>
      </c>
      <c r="D266" s="11">
        <f>IF(B266="","",$H$5)</f>
        <v/>
      </c>
      <c r="E266" s="11">
        <f>IF(B266="","",G265*$D$5/12)</f>
        <v/>
      </c>
      <c r="F266" s="11">
        <f>IF(B266="","",D266-E266)</f>
        <v/>
      </c>
      <c r="G266" s="11">
        <f>IF(B266="","",G265-F266)</f>
        <v/>
      </c>
    </row>
    <row r="267">
      <c r="B267" s="7">
        <f>IF(258&lt;=$H$4,258,"")</f>
        <v/>
      </c>
      <c r="C267" s="14">
        <f>IF(B267="","",EDATE($D$7,258-1))</f>
        <v/>
      </c>
      <c r="D267" s="11">
        <f>IF(B267="","",$H$5)</f>
        <v/>
      </c>
      <c r="E267" s="11">
        <f>IF(B267="","",G266*$D$5/12)</f>
        <v/>
      </c>
      <c r="F267" s="11">
        <f>IF(B267="","",D267-E267)</f>
        <v/>
      </c>
      <c r="G267" s="11">
        <f>IF(B267="","",G266-F267)</f>
        <v/>
      </c>
    </row>
    <row r="268">
      <c r="B268" s="7">
        <f>IF(259&lt;=$H$4,259,"")</f>
        <v/>
      </c>
      <c r="C268" s="14">
        <f>IF(B268="","",EDATE($D$7,259-1))</f>
        <v/>
      </c>
      <c r="D268" s="11">
        <f>IF(B268="","",$H$5)</f>
        <v/>
      </c>
      <c r="E268" s="11">
        <f>IF(B268="","",G267*$D$5/12)</f>
        <v/>
      </c>
      <c r="F268" s="11">
        <f>IF(B268="","",D268-E268)</f>
        <v/>
      </c>
      <c r="G268" s="11">
        <f>IF(B268="","",G267-F268)</f>
        <v/>
      </c>
    </row>
    <row r="269">
      <c r="B269" s="7">
        <f>IF(260&lt;=$H$4,260,"")</f>
        <v/>
      </c>
      <c r="C269" s="14">
        <f>IF(B269="","",EDATE($D$7,260-1))</f>
        <v/>
      </c>
      <c r="D269" s="11">
        <f>IF(B269="","",$H$5)</f>
        <v/>
      </c>
      <c r="E269" s="11">
        <f>IF(B269="","",G268*$D$5/12)</f>
        <v/>
      </c>
      <c r="F269" s="11">
        <f>IF(B269="","",D269-E269)</f>
        <v/>
      </c>
      <c r="G269" s="11">
        <f>IF(B269="","",G268-F269)</f>
        <v/>
      </c>
    </row>
    <row r="270">
      <c r="B270" s="7">
        <f>IF(261&lt;=$H$4,261,"")</f>
        <v/>
      </c>
      <c r="C270" s="14">
        <f>IF(B270="","",EDATE($D$7,261-1))</f>
        <v/>
      </c>
      <c r="D270" s="11">
        <f>IF(B270="","",$H$5)</f>
        <v/>
      </c>
      <c r="E270" s="11">
        <f>IF(B270="","",G269*$D$5/12)</f>
        <v/>
      </c>
      <c r="F270" s="11">
        <f>IF(B270="","",D270-E270)</f>
        <v/>
      </c>
      <c r="G270" s="11">
        <f>IF(B270="","",G269-F270)</f>
        <v/>
      </c>
    </row>
    <row r="271">
      <c r="B271" s="7">
        <f>IF(262&lt;=$H$4,262,"")</f>
        <v/>
      </c>
      <c r="C271" s="14">
        <f>IF(B271="","",EDATE($D$7,262-1))</f>
        <v/>
      </c>
      <c r="D271" s="11">
        <f>IF(B271="","",$H$5)</f>
        <v/>
      </c>
      <c r="E271" s="11">
        <f>IF(B271="","",G270*$D$5/12)</f>
        <v/>
      </c>
      <c r="F271" s="11">
        <f>IF(B271="","",D271-E271)</f>
        <v/>
      </c>
      <c r="G271" s="11">
        <f>IF(B271="","",G270-F271)</f>
        <v/>
      </c>
    </row>
    <row r="272">
      <c r="B272" s="7">
        <f>IF(263&lt;=$H$4,263,"")</f>
        <v/>
      </c>
      <c r="C272" s="14">
        <f>IF(B272="","",EDATE($D$7,263-1))</f>
        <v/>
      </c>
      <c r="D272" s="11">
        <f>IF(B272="","",$H$5)</f>
        <v/>
      </c>
      <c r="E272" s="11">
        <f>IF(B272="","",G271*$D$5/12)</f>
        <v/>
      </c>
      <c r="F272" s="11">
        <f>IF(B272="","",D272-E272)</f>
        <v/>
      </c>
      <c r="G272" s="11">
        <f>IF(B272="","",G271-F272)</f>
        <v/>
      </c>
    </row>
    <row r="273">
      <c r="B273" s="7">
        <f>IF(264&lt;=$H$4,264,"")</f>
        <v/>
      </c>
      <c r="C273" s="14">
        <f>IF(B273="","",EDATE($D$7,264-1))</f>
        <v/>
      </c>
      <c r="D273" s="11">
        <f>IF(B273="","",$H$5)</f>
        <v/>
      </c>
      <c r="E273" s="11">
        <f>IF(B273="","",G272*$D$5/12)</f>
        <v/>
      </c>
      <c r="F273" s="11">
        <f>IF(B273="","",D273-E273)</f>
        <v/>
      </c>
      <c r="G273" s="11">
        <f>IF(B273="","",G272-F273)</f>
        <v/>
      </c>
    </row>
    <row r="274">
      <c r="B274" s="7">
        <f>IF(265&lt;=$H$4,265,"")</f>
        <v/>
      </c>
      <c r="C274" s="14">
        <f>IF(B274="","",EDATE($D$7,265-1))</f>
        <v/>
      </c>
      <c r="D274" s="11">
        <f>IF(B274="","",$H$5)</f>
        <v/>
      </c>
      <c r="E274" s="11">
        <f>IF(B274="","",G273*$D$5/12)</f>
        <v/>
      </c>
      <c r="F274" s="11">
        <f>IF(B274="","",D274-E274)</f>
        <v/>
      </c>
      <c r="G274" s="11">
        <f>IF(B274="","",G273-F274)</f>
        <v/>
      </c>
    </row>
    <row r="275">
      <c r="B275" s="7">
        <f>IF(266&lt;=$H$4,266,"")</f>
        <v/>
      </c>
      <c r="C275" s="14">
        <f>IF(B275="","",EDATE($D$7,266-1))</f>
        <v/>
      </c>
      <c r="D275" s="11">
        <f>IF(B275="","",$H$5)</f>
        <v/>
      </c>
      <c r="E275" s="11">
        <f>IF(B275="","",G274*$D$5/12)</f>
        <v/>
      </c>
      <c r="F275" s="11">
        <f>IF(B275="","",D275-E275)</f>
        <v/>
      </c>
      <c r="G275" s="11">
        <f>IF(B275="","",G274-F275)</f>
        <v/>
      </c>
    </row>
    <row r="276">
      <c r="B276" s="7">
        <f>IF(267&lt;=$H$4,267,"")</f>
        <v/>
      </c>
      <c r="C276" s="14">
        <f>IF(B276="","",EDATE($D$7,267-1))</f>
        <v/>
      </c>
      <c r="D276" s="11">
        <f>IF(B276="","",$H$5)</f>
        <v/>
      </c>
      <c r="E276" s="11">
        <f>IF(B276="","",G275*$D$5/12)</f>
        <v/>
      </c>
      <c r="F276" s="11">
        <f>IF(B276="","",D276-E276)</f>
        <v/>
      </c>
      <c r="G276" s="11">
        <f>IF(B276="","",G275-F276)</f>
        <v/>
      </c>
    </row>
    <row r="277">
      <c r="B277" s="7">
        <f>IF(268&lt;=$H$4,268,"")</f>
        <v/>
      </c>
      <c r="C277" s="14">
        <f>IF(B277="","",EDATE($D$7,268-1))</f>
        <v/>
      </c>
      <c r="D277" s="11">
        <f>IF(B277="","",$H$5)</f>
        <v/>
      </c>
      <c r="E277" s="11">
        <f>IF(B277="","",G276*$D$5/12)</f>
        <v/>
      </c>
      <c r="F277" s="11">
        <f>IF(B277="","",D277-E277)</f>
        <v/>
      </c>
      <c r="G277" s="11">
        <f>IF(B277="","",G276-F277)</f>
        <v/>
      </c>
    </row>
    <row r="278">
      <c r="B278" s="7">
        <f>IF(269&lt;=$H$4,269,"")</f>
        <v/>
      </c>
      <c r="C278" s="14">
        <f>IF(B278="","",EDATE($D$7,269-1))</f>
        <v/>
      </c>
      <c r="D278" s="11">
        <f>IF(B278="","",$H$5)</f>
        <v/>
      </c>
      <c r="E278" s="11">
        <f>IF(B278="","",G277*$D$5/12)</f>
        <v/>
      </c>
      <c r="F278" s="11">
        <f>IF(B278="","",D278-E278)</f>
        <v/>
      </c>
      <c r="G278" s="11">
        <f>IF(B278="","",G277-F278)</f>
        <v/>
      </c>
    </row>
    <row r="279">
      <c r="B279" s="7">
        <f>IF(270&lt;=$H$4,270,"")</f>
        <v/>
      </c>
      <c r="C279" s="14">
        <f>IF(B279="","",EDATE($D$7,270-1))</f>
        <v/>
      </c>
      <c r="D279" s="11">
        <f>IF(B279="","",$H$5)</f>
        <v/>
      </c>
      <c r="E279" s="11">
        <f>IF(B279="","",G278*$D$5/12)</f>
        <v/>
      </c>
      <c r="F279" s="11">
        <f>IF(B279="","",D279-E279)</f>
        <v/>
      </c>
      <c r="G279" s="11">
        <f>IF(B279="","",G278-F279)</f>
        <v/>
      </c>
    </row>
    <row r="280">
      <c r="B280" s="7">
        <f>IF(271&lt;=$H$4,271,"")</f>
        <v/>
      </c>
      <c r="C280" s="14">
        <f>IF(B280="","",EDATE($D$7,271-1))</f>
        <v/>
      </c>
      <c r="D280" s="11">
        <f>IF(B280="","",$H$5)</f>
        <v/>
      </c>
      <c r="E280" s="11">
        <f>IF(B280="","",G279*$D$5/12)</f>
        <v/>
      </c>
      <c r="F280" s="11">
        <f>IF(B280="","",D280-E280)</f>
        <v/>
      </c>
      <c r="G280" s="11">
        <f>IF(B280="","",G279-F280)</f>
        <v/>
      </c>
    </row>
    <row r="281">
      <c r="B281" s="7">
        <f>IF(272&lt;=$H$4,272,"")</f>
        <v/>
      </c>
      <c r="C281" s="14">
        <f>IF(B281="","",EDATE($D$7,272-1))</f>
        <v/>
      </c>
      <c r="D281" s="11">
        <f>IF(B281="","",$H$5)</f>
        <v/>
      </c>
      <c r="E281" s="11">
        <f>IF(B281="","",G280*$D$5/12)</f>
        <v/>
      </c>
      <c r="F281" s="11">
        <f>IF(B281="","",D281-E281)</f>
        <v/>
      </c>
      <c r="G281" s="11">
        <f>IF(B281="","",G280-F281)</f>
        <v/>
      </c>
    </row>
    <row r="282">
      <c r="B282" s="7">
        <f>IF(273&lt;=$H$4,273,"")</f>
        <v/>
      </c>
      <c r="C282" s="14">
        <f>IF(B282="","",EDATE($D$7,273-1))</f>
        <v/>
      </c>
      <c r="D282" s="11">
        <f>IF(B282="","",$H$5)</f>
        <v/>
      </c>
      <c r="E282" s="11">
        <f>IF(B282="","",G281*$D$5/12)</f>
        <v/>
      </c>
      <c r="F282" s="11">
        <f>IF(B282="","",D282-E282)</f>
        <v/>
      </c>
      <c r="G282" s="11">
        <f>IF(B282="","",G281-F282)</f>
        <v/>
      </c>
    </row>
    <row r="283">
      <c r="B283" s="7">
        <f>IF(274&lt;=$H$4,274,"")</f>
        <v/>
      </c>
      <c r="C283" s="14">
        <f>IF(B283="","",EDATE($D$7,274-1))</f>
        <v/>
      </c>
      <c r="D283" s="11">
        <f>IF(B283="","",$H$5)</f>
        <v/>
      </c>
      <c r="E283" s="11">
        <f>IF(B283="","",G282*$D$5/12)</f>
        <v/>
      </c>
      <c r="F283" s="11">
        <f>IF(B283="","",D283-E283)</f>
        <v/>
      </c>
      <c r="G283" s="11">
        <f>IF(B283="","",G282-F283)</f>
        <v/>
      </c>
    </row>
    <row r="284">
      <c r="B284" s="7">
        <f>IF(275&lt;=$H$4,275,"")</f>
        <v/>
      </c>
      <c r="C284" s="14">
        <f>IF(B284="","",EDATE($D$7,275-1))</f>
        <v/>
      </c>
      <c r="D284" s="11">
        <f>IF(B284="","",$H$5)</f>
        <v/>
      </c>
      <c r="E284" s="11">
        <f>IF(B284="","",G283*$D$5/12)</f>
        <v/>
      </c>
      <c r="F284" s="11">
        <f>IF(B284="","",D284-E284)</f>
        <v/>
      </c>
      <c r="G284" s="11">
        <f>IF(B284="","",G283-F284)</f>
        <v/>
      </c>
    </row>
    <row r="285">
      <c r="B285" s="7">
        <f>IF(276&lt;=$H$4,276,"")</f>
        <v/>
      </c>
      <c r="C285" s="14">
        <f>IF(B285="","",EDATE($D$7,276-1))</f>
        <v/>
      </c>
      <c r="D285" s="11">
        <f>IF(B285="","",$H$5)</f>
        <v/>
      </c>
      <c r="E285" s="11">
        <f>IF(B285="","",G284*$D$5/12)</f>
        <v/>
      </c>
      <c r="F285" s="11">
        <f>IF(B285="","",D285-E285)</f>
        <v/>
      </c>
      <c r="G285" s="11">
        <f>IF(B285="","",G284-F285)</f>
        <v/>
      </c>
    </row>
    <row r="286">
      <c r="B286" s="7">
        <f>IF(277&lt;=$H$4,277,"")</f>
        <v/>
      </c>
      <c r="C286" s="14">
        <f>IF(B286="","",EDATE($D$7,277-1))</f>
        <v/>
      </c>
      <c r="D286" s="11">
        <f>IF(B286="","",$H$5)</f>
        <v/>
      </c>
      <c r="E286" s="11">
        <f>IF(B286="","",G285*$D$5/12)</f>
        <v/>
      </c>
      <c r="F286" s="11">
        <f>IF(B286="","",D286-E286)</f>
        <v/>
      </c>
      <c r="G286" s="11">
        <f>IF(B286="","",G285-F286)</f>
        <v/>
      </c>
    </row>
    <row r="287">
      <c r="B287" s="7">
        <f>IF(278&lt;=$H$4,278,"")</f>
        <v/>
      </c>
      <c r="C287" s="14">
        <f>IF(B287="","",EDATE($D$7,278-1))</f>
        <v/>
      </c>
      <c r="D287" s="11">
        <f>IF(B287="","",$H$5)</f>
        <v/>
      </c>
      <c r="E287" s="11">
        <f>IF(B287="","",G286*$D$5/12)</f>
        <v/>
      </c>
      <c r="F287" s="11">
        <f>IF(B287="","",D287-E287)</f>
        <v/>
      </c>
      <c r="G287" s="11">
        <f>IF(B287="","",G286-F287)</f>
        <v/>
      </c>
    </row>
    <row r="288">
      <c r="B288" s="7">
        <f>IF(279&lt;=$H$4,279,"")</f>
        <v/>
      </c>
      <c r="C288" s="14">
        <f>IF(B288="","",EDATE($D$7,279-1))</f>
        <v/>
      </c>
      <c r="D288" s="11">
        <f>IF(B288="","",$H$5)</f>
        <v/>
      </c>
      <c r="E288" s="11">
        <f>IF(B288="","",G287*$D$5/12)</f>
        <v/>
      </c>
      <c r="F288" s="11">
        <f>IF(B288="","",D288-E288)</f>
        <v/>
      </c>
      <c r="G288" s="11">
        <f>IF(B288="","",G287-F288)</f>
        <v/>
      </c>
    </row>
    <row r="289">
      <c r="B289" s="7">
        <f>IF(280&lt;=$H$4,280,"")</f>
        <v/>
      </c>
      <c r="C289" s="14">
        <f>IF(B289="","",EDATE($D$7,280-1))</f>
        <v/>
      </c>
      <c r="D289" s="11">
        <f>IF(B289="","",$H$5)</f>
        <v/>
      </c>
      <c r="E289" s="11">
        <f>IF(B289="","",G288*$D$5/12)</f>
        <v/>
      </c>
      <c r="F289" s="11">
        <f>IF(B289="","",D289-E289)</f>
        <v/>
      </c>
      <c r="G289" s="11">
        <f>IF(B289="","",G288-F289)</f>
        <v/>
      </c>
    </row>
    <row r="290">
      <c r="B290" s="7">
        <f>IF(281&lt;=$H$4,281,"")</f>
        <v/>
      </c>
      <c r="C290" s="14">
        <f>IF(B290="","",EDATE($D$7,281-1))</f>
        <v/>
      </c>
      <c r="D290" s="11">
        <f>IF(B290="","",$H$5)</f>
        <v/>
      </c>
      <c r="E290" s="11">
        <f>IF(B290="","",G289*$D$5/12)</f>
        <v/>
      </c>
      <c r="F290" s="11">
        <f>IF(B290="","",D290-E290)</f>
        <v/>
      </c>
      <c r="G290" s="11">
        <f>IF(B290="","",G289-F290)</f>
        <v/>
      </c>
    </row>
    <row r="291">
      <c r="B291" s="7">
        <f>IF(282&lt;=$H$4,282,"")</f>
        <v/>
      </c>
      <c r="C291" s="14">
        <f>IF(B291="","",EDATE($D$7,282-1))</f>
        <v/>
      </c>
      <c r="D291" s="11">
        <f>IF(B291="","",$H$5)</f>
        <v/>
      </c>
      <c r="E291" s="11">
        <f>IF(B291="","",G290*$D$5/12)</f>
        <v/>
      </c>
      <c r="F291" s="11">
        <f>IF(B291="","",D291-E291)</f>
        <v/>
      </c>
      <c r="G291" s="11">
        <f>IF(B291="","",G290-F291)</f>
        <v/>
      </c>
    </row>
    <row r="292">
      <c r="B292" s="7">
        <f>IF(283&lt;=$H$4,283,"")</f>
        <v/>
      </c>
      <c r="C292" s="14">
        <f>IF(B292="","",EDATE($D$7,283-1))</f>
        <v/>
      </c>
      <c r="D292" s="11">
        <f>IF(B292="","",$H$5)</f>
        <v/>
      </c>
      <c r="E292" s="11">
        <f>IF(B292="","",G291*$D$5/12)</f>
        <v/>
      </c>
      <c r="F292" s="11">
        <f>IF(B292="","",D292-E292)</f>
        <v/>
      </c>
      <c r="G292" s="11">
        <f>IF(B292="","",G291-F292)</f>
        <v/>
      </c>
    </row>
    <row r="293">
      <c r="B293" s="7">
        <f>IF(284&lt;=$H$4,284,"")</f>
        <v/>
      </c>
      <c r="C293" s="14">
        <f>IF(B293="","",EDATE($D$7,284-1))</f>
        <v/>
      </c>
      <c r="D293" s="11">
        <f>IF(B293="","",$H$5)</f>
        <v/>
      </c>
      <c r="E293" s="11">
        <f>IF(B293="","",G292*$D$5/12)</f>
        <v/>
      </c>
      <c r="F293" s="11">
        <f>IF(B293="","",D293-E293)</f>
        <v/>
      </c>
      <c r="G293" s="11">
        <f>IF(B293="","",G292-F293)</f>
        <v/>
      </c>
    </row>
    <row r="294">
      <c r="B294" s="7">
        <f>IF(285&lt;=$H$4,285,"")</f>
        <v/>
      </c>
      <c r="C294" s="14">
        <f>IF(B294="","",EDATE($D$7,285-1))</f>
        <v/>
      </c>
      <c r="D294" s="11">
        <f>IF(B294="","",$H$5)</f>
        <v/>
      </c>
      <c r="E294" s="11">
        <f>IF(B294="","",G293*$D$5/12)</f>
        <v/>
      </c>
      <c r="F294" s="11">
        <f>IF(B294="","",D294-E294)</f>
        <v/>
      </c>
      <c r="G294" s="11">
        <f>IF(B294="","",G293-F294)</f>
        <v/>
      </c>
    </row>
    <row r="295">
      <c r="B295" s="7">
        <f>IF(286&lt;=$H$4,286,"")</f>
        <v/>
      </c>
      <c r="C295" s="14">
        <f>IF(B295="","",EDATE($D$7,286-1))</f>
        <v/>
      </c>
      <c r="D295" s="11">
        <f>IF(B295="","",$H$5)</f>
        <v/>
      </c>
      <c r="E295" s="11">
        <f>IF(B295="","",G294*$D$5/12)</f>
        <v/>
      </c>
      <c r="F295" s="11">
        <f>IF(B295="","",D295-E295)</f>
        <v/>
      </c>
      <c r="G295" s="11">
        <f>IF(B295="","",G294-F295)</f>
        <v/>
      </c>
    </row>
    <row r="296">
      <c r="B296" s="7">
        <f>IF(287&lt;=$H$4,287,"")</f>
        <v/>
      </c>
      <c r="C296" s="14">
        <f>IF(B296="","",EDATE($D$7,287-1))</f>
        <v/>
      </c>
      <c r="D296" s="11">
        <f>IF(B296="","",$H$5)</f>
        <v/>
      </c>
      <c r="E296" s="11">
        <f>IF(B296="","",G295*$D$5/12)</f>
        <v/>
      </c>
      <c r="F296" s="11">
        <f>IF(B296="","",D296-E296)</f>
        <v/>
      </c>
      <c r="G296" s="11">
        <f>IF(B296="","",G295-F296)</f>
        <v/>
      </c>
    </row>
    <row r="297">
      <c r="B297" s="7">
        <f>IF(288&lt;=$H$4,288,"")</f>
        <v/>
      </c>
      <c r="C297" s="14">
        <f>IF(B297="","",EDATE($D$7,288-1))</f>
        <v/>
      </c>
      <c r="D297" s="11">
        <f>IF(B297="","",$H$5)</f>
        <v/>
      </c>
      <c r="E297" s="11">
        <f>IF(B297="","",G296*$D$5/12)</f>
        <v/>
      </c>
      <c r="F297" s="11">
        <f>IF(B297="","",D297-E297)</f>
        <v/>
      </c>
      <c r="G297" s="11">
        <f>IF(B297="","",G296-F297)</f>
        <v/>
      </c>
    </row>
    <row r="298">
      <c r="B298" s="7">
        <f>IF(289&lt;=$H$4,289,"")</f>
        <v/>
      </c>
      <c r="C298" s="14">
        <f>IF(B298="","",EDATE($D$7,289-1))</f>
        <v/>
      </c>
      <c r="D298" s="11">
        <f>IF(B298="","",$H$5)</f>
        <v/>
      </c>
      <c r="E298" s="11">
        <f>IF(B298="","",G297*$D$5/12)</f>
        <v/>
      </c>
      <c r="F298" s="11">
        <f>IF(B298="","",D298-E298)</f>
        <v/>
      </c>
      <c r="G298" s="11">
        <f>IF(B298="","",G297-F298)</f>
        <v/>
      </c>
    </row>
    <row r="299">
      <c r="B299" s="7">
        <f>IF(290&lt;=$H$4,290,"")</f>
        <v/>
      </c>
      <c r="C299" s="14">
        <f>IF(B299="","",EDATE($D$7,290-1))</f>
        <v/>
      </c>
      <c r="D299" s="11">
        <f>IF(B299="","",$H$5)</f>
        <v/>
      </c>
      <c r="E299" s="11">
        <f>IF(B299="","",G298*$D$5/12)</f>
        <v/>
      </c>
      <c r="F299" s="11">
        <f>IF(B299="","",D299-E299)</f>
        <v/>
      </c>
      <c r="G299" s="11">
        <f>IF(B299="","",G298-F299)</f>
        <v/>
      </c>
    </row>
    <row r="300">
      <c r="B300" s="7">
        <f>IF(291&lt;=$H$4,291,"")</f>
        <v/>
      </c>
      <c r="C300" s="14">
        <f>IF(B300="","",EDATE($D$7,291-1))</f>
        <v/>
      </c>
      <c r="D300" s="11">
        <f>IF(B300="","",$H$5)</f>
        <v/>
      </c>
      <c r="E300" s="11">
        <f>IF(B300="","",G299*$D$5/12)</f>
        <v/>
      </c>
      <c r="F300" s="11">
        <f>IF(B300="","",D300-E300)</f>
        <v/>
      </c>
      <c r="G300" s="11">
        <f>IF(B300="","",G299-F300)</f>
        <v/>
      </c>
    </row>
    <row r="301">
      <c r="B301" s="7">
        <f>IF(292&lt;=$H$4,292,"")</f>
        <v/>
      </c>
      <c r="C301" s="14">
        <f>IF(B301="","",EDATE($D$7,292-1))</f>
        <v/>
      </c>
      <c r="D301" s="11">
        <f>IF(B301="","",$H$5)</f>
        <v/>
      </c>
      <c r="E301" s="11">
        <f>IF(B301="","",G300*$D$5/12)</f>
        <v/>
      </c>
      <c r="F301" s="11">
        <f>IF(B301="","",D301-E301)</f>
        <v/>
      </c>
      <c r="G301" s="11">
        <f>IF(B301="","",G300-F301)</f>
        <v/>
      </c>
    </row>
    <row r="302">
      <c r="B302" s="7">
        <f>IF(293&lt;=$H$4,293,"")</f>
        <v/>
      </c>
      <c r="C302" s="14">
        <f>IF(B302="","",EDATE($D$7,293-1))</f>
        <v/>
      </c>
      <c r="D302" s="11">
        <f>IF(B302="","",$H$5)</f>
        <v/>
      </c>
      <c r="E302" s="11">
        <f>IF(B302="","",G301*$D$5/12)</f>
        <v/>
      </c>
      <c r="F302" s="11">
        <f>IF(B302="","",D302-E302)</f>
        <v/>
      </c>
      <c r="G302" s="11">
        <f>IF(B302="","",G301-F302)</f>
        <v/>
      </c>
    </row>
    <row r="303">
      <c r="B303" s="7">
        <f>IF(294&lt;=$H$4,294,"")</f>
        <v/>
      </c>
      <c r="C303" s="14">
        <f>IF(B303="","",EDATE($D$7,294-1))</f>
        <v/>
      </c>
      <c r="D303" s="11">
        <f>IF(B303="","",$H$5)</f>
        <v/>
      </c>
      <c r="E303" s="11">
        <f>IF(B303="","",G302*$D$5/12)</f>
        <v/>
      </c>
      <c r="F303" s="11">
        <f>IF(B303="","",D303-E303)</f>
        <v/>
      </c>
      <c r="G303" s="11">
        <f>IF(B303="","",G302-F303)</f>
        <v/>
      </c>
    </row>
    <row r="304">
      <c r="B304" s="7">
        <f>IF(295&lt;=$H$4,295,"")</f>
        <v/>
      </c>
      <c r="C304" s="14">
        <f>IF(B304="","",EDATE($D$7,295-1))</f>
        <v/>
      </c>
      <c r="D304" s="11">
        <f>IF(B304="","",$H$5)</f>
        <v/>
      </c>
      <c r="E304" s="11">
        <f>IF(B304="","",G303*$D$5/12)</f>
        <v/>
      </c>
      <c r="F304" s="11">
        <f>IF(B304="","",D304-E304)</f>
        <v/>
      </c>
      <c r="G304" s="11">
        <f>IF(B304="","",G303-F304)</f>
        <v/>
      </c>
    </row>
    <row r="305">
      <c r="B305" s="7">
        <f>IF(296&lt;=$H$4,296,"")</f>
        <v/>
      </c>
      <c r="C305" s="14">
        <f>IF(B305="","",EDATE($D$7,296-1))</f>
        <v/>
      </c>
      <c r="D305" s="11">
        <f>IF(B305="","",$H$5)</f>
        <v/>
      </c>
      <c r="E305" s="11">
        <f>IF(B305="","",G304*$D$5/12)</f>
        <v/>
      </c>
      <c r="F305" s="11">
        <f>IF(B305="","",D305-E305)</f>
        <v/>
      </c>
      <c r="G305" s="11">
        <f>IF(B305="","",G304-F305)</f>
        <v/>
      </c>
    </row>
    <row r="306">
      <c r="B306" s="7">
        <f>IF(297&lt;=$H$4,297,"")</f>
        <v/>
      </c>
      <c r="C306" s="14">
        <f>IF(B306="","",EDATE($D$7,297-1))</f>
        <v/>
      </c>
      <c r="D306" s="11">
        <f>IF(B306="","",$H$5)</f>
        <v/>
      </c>
      <c r="E306" s="11">
        <f>IF(B306="","",G305*$D$5/12)</f>
        <v/>
      </c>
      <c r="F306" s="11">
        <f>IF(B306="","",D306-E306)</f>
        <v/>
      </c>
      <c r="G306" s="11">
        <f>IF(B306="","",G305-F306)</f>
        <v/>
      </c>
    </row>
    <row r="307">
      <c r="B307" s="7">
        <f>IF(298&lt;=$H$4,298,"")</f>
        <v/>
      </c>
      <c r="C307" s="14">
        <f>IF(B307="","",EDATE($D$7,298-1))</f>
        <v/>
      </c>
      <c r="D307" s="11">
        <f>IF(B307="","",$H$5)</f>
        <v/>
      </c>
      <c r="E307" s="11">
        <f>IF(B307="","",G306*$D$5/12)</f>
        <v/>
      </c>
      <c r="F307" s="11">
        <f>IF(B307="","",D307-E307)</f>
        <v/>
      </c>
      <c r="G307" s="11">
        <f>IF(B307="","",G306-F307)</f>
        <v/>
      </c>
    </row>
    <row r="308">
      <c r="B308" s="7">
        <f>IF(299&lt;=$H$4,299,"")</f>
        <v/>
      </c>
      <c r="C308" s="14">
        <f>IF(B308="","",EDATE($D$7,299-1))</f>
        <v/>
      </c>
      <c r="D308" s="11">
        <f>IF(B308="","",$H$5)</f>
        <v/>
      </c>
      <c r="E308" s="11">
        <f>IF(B308="","",G307*$D$5/12)</f>
        <v/>
      </c>
      <c r="F308" s="11">
        <f>IF(B308="","",D308-E308)</f>
        <v/>
      </c>
      <c r="G308" s="11">
        <f>IF(B308="","",G307-F308)</f>
        <v/>
      </c>
    </row>
    <row r="309">
      <c r="B309" s="7">
        <f>IF(300&lt;=$H$4,300,"")</f>
        <v/>
      </c>
      <c r="C309" s="14">
        <f>IF(B309="","",EDATE($D$7,300-1))</f>
        <v/>
      </c>
      <c r="D309" s="11">
        <f>IF(B309="","",$H$5)</f>
        <v/>
      </c>
      <c r="E309" s="11">
        <f>IF(B309="","",G308*$D$5/12)</f>
        <v/>
      </c>
      <c r="F309" s="11">
        <f>IF(B309="","",D309-E309)</f>
        <v/>
      </c>
      <c r="G309" s="11">
        <f>IF(B309="","",G308-F309)</f>
        <v/>
      </c>
    </row>
    <row r="310">
      <c r="B310" s="7">
        <f>IF(301&lt;=$H$4,301,"")</f>
        <v/>
      </c>
      <c r="C310" s="14">
        <f>IF(B310="","",EDATE($D$7,301-1))</f>
        <v/>
      </c>
      <c r="D310" s="11">
        <f>IF(B310="","",$H$5)</f>
        <v/>
      </c>
      <c r="E310" s="11">
        <f>IF(B310="","",G309*$D$5/12)</f>
        <v/>
      </c>
      <c r="F310" s="11">
        <f>IF(B310="","",D310-E310)</f>
        <v/>
      </c>
      <c r="G310" s="11">
        <f>IF(B310="","",G309-F310)</f>
        <v/>
      </c>
    </row>
    <row r="311">
      <c r="B311" s="7">
        <f>IF(302&lt;=$H$4,302,"")</f>
        <v/>
      </c>
      <c r="C311" s="14">
        <f>IF(B311="","",EDATE($D$7,302-1))</f>
        <v/>
      </c>
      <c r="D311" s="11">
        <f>IF(B311="","",$H$5)</f>
        <v/>
      </c>
      <c r="E311" s="11">
        <f>IF(B311="","",G310*$D$5/12)</f>
        <v/>
      </c>
      <c r="F311" s="11">
        <f>IF(B311="","",D311-E311)</f>
        <v/>
      </c>
      <c r="G311" s="11">
        <f>IF(B311="","",G310-F311)</f>
        <v/>
      </c>
    </row>
    <row r="312">
      <c r="B312" s="7">
        <f>IF(303&lt;=$H$4,303,"")</f>
        <v/>
      </c>
      <c r="C312" s="14">
        <f>IF(B312="","",EDATE($D$7,303-1))</f>
        <v/>
      </c>
      <c r="D312" s="11">
        <f>IF(B312="","",$H$5)</f>
        <v/>
      </c>
      <c r="E312" s="11">
        <f>IF(B312="","",G311*$D$5/12)</f>
        <v/>
      </c>
      <c r="F312" s="11">
        <f>IF(B312="","",D312-E312)</f>
        <v/>
      </c>
      <c r="G312" s="11">
        <f>IF(B312="","",G311-F312)</f>
        <v/>
      </c>
    </row>
    <row r="313">
      <c r="B313" s="7">
        <f>IF(304&lt;=$H$4,304,"")</f>
        <v/>
      </c>
      <c r="C313" s="14">
        <f>IF(B313="","",EDATE($D$7,304-1))</f>
        <v/>
      </c>
      <c r="D313" s="11">
        <f>IF(B313="","",$H$5)</f>
        <v/>
      </c>
      <c r="E313" s="11">
        <f>IF(B313="","",G312*$D$5/12)</f>
        <v/>
      </c>
      <c r="F313" s="11">
        <f>IF(B313="","",D313-E313)</f>
        <v/>
      </c>
      <c r="G313" s="11">
        <f>IF(B313="","",G312-F313)</f>
        <v/>
      </c>
    </row>
    <row r="314">
      <c r="B314" s="7">
        <f>IF(305&lt;=$H$4,305,"")</f>
        <v/>
      </c>
      <c r="C314" s="14">
        <f>IF(B314="","",EDATE($D$7,305-1))</f>
        <v/>
      </c>
      <c r="D314" s="11">
        <f>IF(B314="","",$H$5)</f>
        <v/>
      </c>
      <c r="E314" s="11">
        <f>IF(B314="","",G313*$D$5/12)</f>
        <v/>
      </c>
      <c r="F314" s="11">
        <f>IF(B314="","",D314-E314)</f>
        <v/>
      </c>
      <c r="G314" s="11">
        <f>IF(B314="","",G313-F314)</f>
        <v/>
      </c>
    </row>
    <row r="315">
      <c r="B315" s="7">
        <f>IF(306&lt;=$H$4,306,"")</f>
        <v/>
      </c>
      <c r="C315" s="14">
        <f>IF(B315="","",EDATE($D$7,306-1))</f>
        <v/>
      </c>
      <c r="D315" s="11">
        <f>IF(B315="","",$H$5)</f>
        <v/>
      </c>
      <c r="E315" s="11">
        <f>IF(B315="","",G314*$D$5/12)</f>
        <v/>
      </c>
      <c r="F315" s="11">
        <f>IF(B315="","",D315-E315)</f>
        <v/>
      </c>
      <c r="G315" s="11">
        <f>IF(B315="","",G314-F315)</f>
        <v/>
      </c>
    </row>
    <row r="316">
      <c r="B316" s="7">
        <f>IF(307&lt;=$H$4,307,"")</f>
        <v/>
      </c>
      <c r="C316" s="14">
        <f>IF(B316="","",EDATE($D$7,307-1))</f>
        <v/>
      </c>
      <c r="D316" s="11">
        <f>IF(B316="","",$H$5)</f>
        <v/>
      </c>
      <c r="E316" s="11">
        <f>IF(B316="","",G315*$D$5/12)</f>
        <v/>
      </c>
      <c r="F316" s="11">
        <f>IF(B316="","",D316-E316)</f>
        <v/>
      </c>
      <c r="G316" s="11">
        <f>IF(B316="","",G315-F316)</f>
        <v/>
      </c>
    </row>
    <row r="317">
      <c r="B317" s="7">
        <f>IF(308&lt;=$H$4,308,"")</f>
        <v/>
      </c>
      <c r="C317" s="14">
        <f>IF(B317="","",EDATE($D$7,308-1))</f>
        <v/>
      </c>
      <c r="D317" s="11">
        <f>IF(B317="","",$H$5)</f>
        <v/>
      </c>
      <c r="E317" s="11">
        <f>IF(B317="","",G316*$D$5/12)</f>
        <v/>
      </c>
      <c r="F317" s="11">
        <f>IF(B317="","",D317-E317)</f>
        <v/>
      </c>
      <c r="G317" s="11">
        <f>IF(B317="","",G316-F317)</f>
        <v/>
      </c>
    </row>
    <row r="318">
      <c r="B318" s="7">
        <f>IF(309&lt;=$H$4,309,"")</f>
        <v/>
      </c>
      <c r="C318" s="14">
        <f>IF(B318="","",EDATE($D$7,309-1))</f>
        <v/>
      </c>
      <c r="D318" s="11">
        <f>IF(B318="","",$H$5)</f>
        <v/>
      </c>
      <c r="E318" s="11">
        <f>IF(B318="","",G317*$D$5/12)</f>
        <v/>
      </c>
      <c r="F318" s="11">
        <f>IF(B318="","",D318-E318)</f>
        <v/>
      </c>
      <c r="G318" s="11">
        <f>IF(B318="","",G317-F318)</f>
        <v/>
      </c>
    </row>
    <row r="319">
      <c r="B319" s="7">
        <f>IF(310&lt;=$H$4,310,"")</f>
        <v/>
      </c>
      <c r="C319" s="14">
        <f>IF(B319="","",EDATE($D$7,310-1))</f>
        <v/>
      </c>
      <c r="D319" s="11">
        <f>IF(B319="","",$H$5)</f>
        <v/>
      </c>
      <c r="E319" s="11">
        <f>IF(B319="","",G318*$D$5/12)</f>
        <v/>
      </c>
      <c r="F319" s="11">
        <f>IF(B319="","",D319-E319)</f>
        <v/>
      </c>
      <c r="G319" s="11">
        <f>IF(B319="","",G318-F319)</f>
        <v/>
      </c>
    </row>
    <row r="320">
      <c r="B320" s="7">
        <f>IF(311&lt;=$H$4,311,"")</f>
        <v/>
      </c>
      <c r="C320" s="14">
        <f>IF(B320="","",EDATE($D$7,311-1))</f>
        <v/>
      </c>
      <c r="D320" s="11">
        <f>IF(B320="","",$H$5)</f>
        <v/>
      </c>
      <c r="E320" s="11">
        <f>IF(B320="","",G319*$D$5/12)</f>
        <v/>
      </c>
      <c r="F320" s="11">
        <f>IF(B320="","",D320-E320)</f>
        <v/>
      </c>
      <c r="G320" s="11">
        <f>IF(B320="","",G319-F320)</f>
        <v/>
      </c>
    </row>
    <row r="321">
      <c r="B321" s="7">
        <f>IF(312&lt;=$H$4,312,"")</f>
        <v/>
      </c>
      <c r="C321" s="14">
        <f>IF(B321="","",EDATE($D$7,312-1))</f>
        <v/>
      </c>
      <c r="D321" s="11">
        <f>IF(B321="","",$H$5)</f>
        <v/>
      </c>
      <c r="E321" s="11">
        <f>IF(B321="","",G320*$D$5/12)</f>
        <v/>
      </c>
      <c r="F321" s="11">
        <f>IF(B321="","",D321-E321)</f>
        <v/>
      </c>
      <c r="G321" s="11">
        <f>IF(B321="","",G320-F321)</f>
        <v/>
      </c>
    </row>
    <row r="322">
      <c r="B322" s="7">
        <f>IF(313&lt;=$H$4,313,"")</f>
        <v/>
      </c>
      <c r="C322" s="14">
        <f>IF(B322="","",EDATE($D$7,313-1))</f>
        <v/>
      </c>
      <c r="D322" s="11">
        <f>IF(B322="","",$H$5)</f>
        <v/>
      </c>
      <c r="E322" s="11">
        <f>IF(B322="","",G321*$D$5/12)</f>
        <v/>
      </c>
      <c r="F322" s="11">
        <f>IF(B322="","",D322-E322)</f>
        <v/>
      </c>
      <c r="G322" s="11">
        <f>IF(B322="","",G321-F322)</f>
        <v/>
      </c>
    </row>
    <row r="323">
      <c r="B323" s="7">
        <f>IF(314&lt;=$H$4,314,"")</f>
        <v/>
      </c>
      <c r="C323" s="14">
        <f>IF(B323="","",EDATE($D$7,314-1))</f>
        <v/>
      </c>
      <c r="D323" s="11">
        <f>IF(B323="","",$H$5)</f>
        <v/>
      </c>
      <c r="E323" s="11">
        <f>IF(B323="","",G322*$D$5/12)</f>
        <v/>
      </c>
      <c r="F323" s="11">
        <f>IF(B323="","",D323-E323)</f>
        <v/>
      </c>
      <c r="G323" s="11">
        <f>IF(B323="","",G322-F323)</f>
        <v/>
      </c>
    </row>
    <row r="324">
      <c r="B324" s="7">
        <f>IF(315&lt;=$H$4,315,"")</f>
        <v/>
      </c>
      <c r="C324" s="14">
        <f>IF(B324="","",EDATE($D$7,315-1))</f>
        <v/>
      </c>
      <c r="D324" s="11">
        <f>IF(B324="","",$H$5)</f>
        <v/>
      </c>
      <c r="E324" s="11">
        <f>IF(B324="","",G323*$D$5/12)</f>
        <v/>
      </c>
      <c r="F324" s="11">
        <f>IF(B324="","",D324-E324)</f>
        <v/>
      </c>
      <c r="G324" s="11">
        <f>IF(B324="","",G323-F324)</f>
        <v/>
      </c>
    </row>
    <row r="325">
      <c r="B325" s="7">
        <f>IF(316&lt;=$H$4,316,"")</f>
        <v/>
      </c>
      <c r="C325" s="14">
        <f>IF(B325="","",EDATE($D$7,316-1))</f>
        <v/>
      </c>
      <c r="D325" s="11">
        <f>IF(B325="","",$H$5)</f>
        <v/>
      </c>
      <c r="E325" s="11">
        <f>IF(B325="","",G324*$D$5/12)</f>
        <v/>
      </c>
      <c r="F325" s="11">
        <f>IF(B325="","",D325-E325)</f>
        <v/>
      </c>
      <c r="G325" s="11">
        <f>IF(B325="","",G324-F325)</f>
        <v/>
      </c>
    </row>
    <row r="326">
      <c r="B326" s="7">
        <f>IF(317&lt;=$H$4,317,"")</f>
        <v/>
      </c>
      <c r="C326" s="14">
        <f>IF(B326="","",EDATE($D$7,317-1))</f>
        <v/>
      </c>
      <c r="D326" s="11">
        <f>IF(B326="","",$H$5)</f>
        <v/>
      </c>
      <c r="E326" s="11">
        <f>IF(B326="","",G325*$D$5/12)</f>
        <v/>
      </c>
      <c r="F326" s="11">
        <f>IF(B326="","",D326-E326)</f>
        <v/>
      </c>
      <c r="G326" s="11">
        <f>IF(B326="","",G325-F326)</f>
        <v/>
      </c>
    </row>
    <row r="327">
      <c r="B327" s="7">
        <f>IF(318&lt;=$H$4,318,"")</f>
        <v/>
      </c>
      <c r="C327" s="14">
        <f>IF(B327="","",EDATE($D$7,318-1))</f>
        <v/>
      </c>
      <c r="D327" s="11">
        <f>IF(B327="","",$H$5)</f>
        <v/>
      </c>
      <c r="E327" s="11">
        <f>IF(B327="","",G326*$D$5/12)</f>
        <v/>
      </c>
      <c r="F327" s="11">
        <f>IF(B327="","",D327-E327)</f>
        <v/>
      </c>
      <c r="G327" s="11">
        <f>IF(B327="","",G326-F327)</f>
        <v/>
      </c>
    </row>
    <row r="328">
      <c r="B328" s="7">
        <f>IF(319&lt;=$H$4,319,"")</f>
        <v/>
      </c>
      <c r="C328" s="14">
        <f>IF(B328="","",EDATE($D$7,319-1))</f>
        <v/>
      </c>
      <c r="D328" s="11">
        <f>IF(B328="","",$H$5)</f>
        <v/>
      </c>
      <c r="E328" s="11">
        <f>IF(B328="","",G327*$D$5/12)</f>
        <v/>
      </c>
      <c r="F328" s="11">
        <f>IF(B328="","",D328-E328)</f>
        <v/>
      </c>
      <c r="G328" s="11">
        <f>IF(B328="","",G327-F328)</f>
        <v/>
      </c>
    </row>
    <row r="329">
      <c r="B329" s="7">
        <f>IF(320&lt;=$H$4,320,"")</f>
        <v/>
      </c>
      <c r="C329" s="14">
        <f>IF(B329="","",EDATE($D$7,320-1))</f>
        <v/>
      </c>
      <c r="D329" s="11">
        <f>IF(B329="","",$H$5)</f>
        <v/>
      </c>
      <c r="E329" s="11">
        <f>IF(B329="","",G328*$D$5/12)</f>
        <v/>
      </c>
      <c r="F329" s="11">
        <f>IF(B329="","",D329-E329)</f>
        <v/>
      </c>
      <c r="G329" s="11">
        <f>IF(B329="","",G328-F329)</f>
        <v/>
      </c>
    </row>
    <row r="330">
      <c r="B330" s="7">
        <f>IF(321&lt;=$H$4,321,"")</f>
        <v/>
      </c>
      <c r="C330" s="14">
        <f>IF(B330="","",EDATE($D$7,321-1))</f>
        <v/>
      </c>
      <c r="D330" s="11">
        <f>IF(B330="","",$H$5)</f>
        <v/>
      </c>
      <c r="E330" s="11">
        <f>IF(B330="","",G329*$D$5/12)</f>
        <v/>
      </c>
      <c r="F330" s="11">
        <f>IF(B330="","",D330-E330)</f>
        <v/>
      </c>
      <c r="G330" s="11">
        <f>IF(B330="","",G329-F330)</f>
        <v/>
      </c>
    </row>
    <row r="331">
      <c r="B331" s="7">
        <f>IF(322&lt;=$H$4,322,"")</f>
        <v/>
      </c>
      <c r="C331" s="14">
        <f>IF(B331="","",EDATE($D$7,322-1))</f>
        <v/>
      </c>
      <c r="D331" s="11">
        <f>IF(B331="","",$H$5)</f>
        <v/>
      </c>
      <c r="E331" s="11">
        <f>IF(B331="","",G330*$D$5/12)</f>
        <v/>
      </c>
      <c r="F331" s="11">
        <f>IF(B331="","",D331-E331)</f>
        <v/>
      </c>
      <c r="G331" s="11">
        <f>IF(B331="","",G330-F331)</f>
        <v/>
      </c>
    </row>
    <row r="332">
      <c r="B332" s="7">
        <f>IF(323&lt;=$H$4,323,"")</f>
        <v/>
      </c>
      <c r="C332" s="14">
        <f>IF(B332="","",EDATE($D$7,323-1))</f>
        <v/>
      </c>
      <c r="D332" s="11">
        <f>IF(B332="","",$H$5)</f>
        <v/>
      </c>
      <c r="E332" s="11">
        <f>IF(B332="","",G331*$D$5/12)</f>
        <v/>
      </c>
      <c r="F332" s="11">
        <f>IF(B332="","",D332-E332)</f>
        <v/>
      </c>
      <c r="G332" s="11">
        <f>IF(B332="","",G331-F332)</f>
        <v/>
      </c>
    </row>
    <row r="333">
      <c r="B333" s="7">
        <f>IF(324&lt;=$H$4,324,"")</f>
        <v/>
      </c>
      <c r="C333" s="14">
        <f>IF(B333="","",EDATE($D$7,324-1))</f>
        <v/>
      </c>
      <c r="D333" s="11">
        <f>IF(B333="","",$H$5)</f>
        <v/>
      </c>
      <c r="E333" s="11">
        <f>IF(B333="","",G332*$D$5/12)</f>
        <v/>
      </c>
      <c r="F333" s="11">
        <f>IF(B333="","",D333-E333)</f>
        <v/>
      </c>
      <c r="G333" s="11">
        <f>IF(B333="","",G332-F333)</f>
        <v/>
      </c>
    </row>
    <row r="334">
      <c r="B334" s="7">
        <f>IF(325&lt;=$H$4,325,"")</f>
        <v/>
      </c>
      <c r="C334" s="14">
        <f>IF(B334="","",EDATE($D$7,325-1))</f>
        <v/>
      </c>
      <c r="D334" s="11">
        <f>IF(B334="","",$H$5)</f>
        <v/>
      </c>
      <c r="E334" s="11">
        <f>IF(B334="","",G333*$D$5/12)</f>
        <v/>
      </c>
      <c r="F334" s="11">
        <f>IF(B334="","",D334-E334)</f>
        <v/>
      </c>
      <c r="G334" s="11">
        <f>IF(B334="","",G333-F334)</f>
        <v/>
      </c>
    </row>
    <row r="335">
      <c r="B335" s="7">
        <f>IF(326&lt;=$H$4,326,"")</f>
        <v/>
      </c>
      <c r="C335" s="14">
        <f>IF(B335="","",EDATE($D$7,326-1))</f>
        <v/>
      </c>
      <c r="D335" s="11">
        <f>IF(B335="","",$H$5)</f>
        <v/>
      </c>
      <c r="E335" s="11">
        <f>IF(B335="","",G334*$D$5/12)</f>
        <v/>
      </c>
      <c r="F335" s="11">
        <f>IF(B335="","",D335-E335)</f>
        <v/>
      </c>
      <c r="G335" s="11">
        <f>IF(B335="","",G334-F335)</f>
        <v/>
      </c>
    </row>
    <row r="336">
      <c r="B336" s="7">
        <f>IF(327&lt;=$H$4,327,"")</f>
        <v/>
      </c>
      <c r="C336" s="14">
        <f>IF(B336="","",EDATE($D$7,327-1))</f>
        <v/>
      </c>
      <c r="D336" s="11">
        <f>IF(B336="","",$H$5)</f>
        <v/>
      </c>
      <c r="E336" s="11">
        <f>IF(B336="","",G335*$D$5/12)</f>
        <v/>
      </c>
      <c r="F336" s="11">
        <f>IF(B336="","",D336-E336)</f>
        <v/>
      </c>
      <c r="G336" s="11">
        <f>IF(B336="","",G335-F336)</f>
        <v/>
      </c>
    </row>
    <row r="337">
      <c r="B337" s="7">
        <f>IF(328&lt;=$H$4,328,"")</f>
        <v/>
      </c>
      <c r="C337" s="14">
        <f>IF(B337="","",EDATE($D$7,328-1))</f>
        <v/>
      </c>
      <c r="D337" s="11">
        <f>IF(B337="","",$H$5)</f>
        <v/>
      </c>
      <c r="E337" s="11">
        <f>IF(B337="","",G336*$D$5/12)</f>
        <v/>
      </c>
      <c r="F337" s="11">
        <f>IF(B337="","",D337-E337)</f>
        <v/>
      </c>
      <c r="G337" s="11">
        <f>IF(B337="","",G336-F337)</f>
        <v/>
      </c>
    </row>
    <row r="338">
      <c r="B338" s="7">
        <f>IF(329&lt;=$H$4,329,"")</f>
        <v/>
      </c>
      <c r="C338" s="14">
        <f>IF(B338="","",EDATE($D$7,329-1))</f>
        <v/>
      </c>
      <c r="D338" s="11">
        <f>IF(B338="","",$H$5)</f>
        <v/>
      </c>
      <c r="E338" s="11">
        <f>IF(B338="","",G337*$D$5/12)</f>
        <v/>
      </c>
      <c r="F338" s="11">
        <f>IF(B338="","",D338-E338)</f>
        <v/>
      </c>
      <c r="G338" s="11">
        <f>IF(B338="","",G337-F338)</f>
        <v/>
      </c>
    </row>
    <row r="339">
      <c r="B339" s="7">
        <f>IF(330&lt;=$H$4,330,"")</f>
        <v/>
      </c>
      <c r="C339" s="14">
        <f>IF(B339="","",EDATE($D$7,330-1))</f>
        <v/>
      </c>
      <c r="D339" s="11">
        <f>IF(B339="","",$H$5)</f>
        <v/>
      </c>
      <c r="E339" s="11">
        <f>IF(B339="","",G338*$D$5/12)</f>
        <v/>
      </c>
      <c r="F339" s="11">
        <f>IF(B339="","",D339-E339)</f>
        <v/>
      </c>
      <c r="G339" s="11">
        <f>IF(B339="","",G338-F339)</f>
        <v/>
      </c>
    </row>
    <row r="340">
      <c r="B340" s="7">
        <f>IF(331&lt;=$H$4,331,"")</f>
        <v/>
      </c>
      <c r="C340" s="14">
        <f>IF(B340="","",EDATE($D$7,331-1))</f>
        <v/>
      </c>
      <c r="D340" s="11">
        <f>IF(B340="","",$H$5)</f>
        <v/>
      </c>
      <c r="E340" s="11">
        <f>IF(B340="","",G339*$D$5/12)</f>
        <v/>
      </c>
      <c r="F340" s="11">
        <f>IF(B340="","",D340-E340)</f>
        <v/>
      </c>
      <c r="G340" s="11">
        <f>IF(B340="","",G339-F340)</f>
        <v/>
      </c>
    </row>
    <row r="341">
      <c r="B341" s="7">
        <f>IF(332&lt;=$H$4,332,"")</f>
        <v/>
      </c>
      <c r="C341" s="14">
        <f>IF(B341="","",EDATE($D$7,332-1))</f>
        <v/>
      </c>
      <c r="D341" s="11">
        <f>IF(B341="","",$H$5)</f>
        <v/>
      </c>
      <c r="E341" s="11">
        <f>IF(B341="","",G340*$D$5/12)</f>
        <v/>
      </c>
      <c r="F341" s="11">
        <f>IF(B341="","",D341-E341)</f>
        <v/>
      </c>
      <c r="G341" s="11">
        <f>IF(B341="","",G340-F341)</f>
        <v/>
      </c>
    </row>
    <row r="342">
      <c r="B342" s="7">
        <f>IF(333&lt;=$H$4,333,"")</f>
        <v/>
      </c>
      <c r="C342" s="14">
        <f>IF(B342="","",EDATE($D$7,333-1))</f>
        <v/>
      </c>
      <c r="D342" s="11">
        <f>IF(B342="","",$H$5)</f>
        <v/>
      </c>
      <c r="E342" s="11">
        <f>IF(B342="","",G341*$D$5/12)</f>
        <v/>
      </c>
      <c r="F342" s="11">
        <f>IF(B342="","",D342-E342)</f>
        <v/>
      </c>
      <c r="G342" s="11">
        <f>IF(B342="","",G341-F342)</f>
        <v/>
      </c>
    </row>
    <row r="343">
      <c r="B343" s="7">
        <f>IF(334&lt;=$H$4,334,"")</f>
        <v/>
      </c>
      <c r="C343" s="14">
        <f>IF(B343="","",EDATE($D$7,334-1))</f>
        <v/>
      </c>
      <c r="D343" s="11">
        <f>IF(B343="","",$H$5)</f>
        <v/>
      </c>
      <c r="E343" s="11">
        <f>IF(B343="","",G342*$D$5/12)</f>
        <v/>
      </c>
      <c r="F343" s="11">
        <f>IF(B343="","",D343-E343)</f>
        <v/>
      </c>
      <c r="G343" s="11">
        <f>IF(B343="","",G342-F343)</f>
        <v/>
      </c>
    </row>
    <row r="344">
      <c r="B344" s="7">
        <f>IF(335&lt;=$H$4,335,"")</f>
        <v/>
      </c>
      <c r="C344" s="14">
        <f>IF(B344="","",EDATE($D$7,335-1))</f>
        <v/>
      </c>
      <c r="D344" s="11">
        <f>IF(B344="","",$H$5)</f>
        <v/>
      </c>
      <c r="E344" s="11">
        <f>IF(B344="","",G343*$D$5/12)</f>
        <v/>
      </c>
      <c r="F344" s="11">
        <f>IF(B344="","",D344-E344)</f>
        <v/>
      </c>
      <c r="G344" s="11">
        <f>IF(B344="","",G343-F344)</f>
        <v/>
      </c>
    </row>
    <row r="345">
      <c r="B345" s="7">
        <f>IF(336&lt;=$H$4,336,"")</f>
        <v/>
      </c>
      <c r="C345" s="14">
        <f>IF(B345="","",EDATE($D$7,336-1))</f>
        <v/>
      </c>
      <c r="D345" s="11">
        <f>IF(B345="","",$H$5)</f>
        <v/>
      </c>
      <c r="E345" s="11">
        <f>IF(B345="","",G344*$D$5/12)</f>
        <v/>
      </c>
      <c r="F345" s="11">
        <f>IF(B345="","",D345-E345)</f>
        <v/>
      </c>
      <c r="G345" s="11">
        <f>IF(B345="","",G344-F345)</f>
        <v/>
      </c>
    </row>
    <row r="346">
      <c r="B346" s="7">
        <f>IF(337&lt;=$H$4,337,"")</f>
        <v/>
      </c>
      <c r="C346" s="14">
        <f>IF(B346="","",EDATE($D$7,337-1))</f>
        <v/>
      </c>
      <c r="D346" s="11">
        <f>IF(B346="","",$H$5)</f>
        <v/>
      </c>
      <c r="E346" s="11">
        <f>IF(B346="","",G345*$D$5/12)</f>
        <v/>
      </c>
      <c r="F346" s="11">
        <f>IF(B346="","",D346-E346)</f>
        <v/>
      </c>
      <c r="G346" s="11">
        <f>IF(B346="","",G345-F346)</f>
        <v/>
      </c>
    </row>
    <row r="347">
      <c r="B347" s="7">
        <f>IF(338&lt;=$H$4,338,"")</f>
        <v/>
      </c>
      <c r="C347" s="14">
        <f>IF(B347="","",EDATE($D$7,338-1))</f>
        <v/>
      </c>
      <c r="D347" s="11">
        <f>IF(B347="","",$H$5)</f>
        <v/>
      </c>
      <c r="E347" s="11">
        <f>IF(B347="","",G346*$D$5/12)</f>
        <v/>
      </c>
      <c r="F347" s="11">
        <f>IF(B347="","",D347-E347)</f>
        <v/>
      </c>
      <c r="G347" s="11">
        <f>IF(B347="","",G346-F347)</f>
        <v/>
      </c>
    </row>
    <row r="348">
      <c r="B348" s="7">
        <f>IF(339&lt;=$H$4,339,"")</f>
        <v/>
      </c>
      <c r="C348" s="14">
        <f>IF(B348="","",EDATE($D$7,339-1))</f>
        <v/>
      </c>
      <c r="D348" s="11">
        <f>IF(B348="","",$H$5)</f>
        <v/>
      </c>
      <c r="E348" s="11">
        <f>IF(B348="","",G347*$D$5/12)</f>
        <v/>
      </c>
      <c r="F348" s="11">
        <f>IF(B348="","",D348-E348)</f>
        <v/>
      </c>
      <c r="G348" s="11">
        <f>IF(B348="","",G347-F348)</f>
        <v/>
      </c>
    </row>
    <row r="349">
      <c r="B349" s="7">
        <f>IF(340&lt;=$H$4,340,"")</f>
        <v/>
      </c>
      <c r="C349" s="14">
        <f>IF(B349="","",EDATE($D$7,340-1))</f>
        <v/>
      </c>
      <c r="D349" s="11">
        <f>IF(B349="","",$H$5)</f>
        <v/>
      </c>
      <c r="E349" s="11">
        <f>IF(B349="","",G348*$D$5/12)</f>
        <v/>
      </c>
      <c r="F349" s="11">
        <f>IF(B349="","",D349-E349)</f>
        <v/>
      </c>
      <c r="G349" s="11">
        <f>IF(B349="","",G348-F349)</f>
        <v/>
      </c>
    </row>
    <row r="350">
      <c r="B350" s="7">
        <f>IF(341&lt;=$H$4,341,"")</f>
        <v/>
      </c>
      <c r="C350" s="14">
        <f>IF(B350="","",EDATE($D$7,341-1))</f>
        <v/>
      </c>
      <c r="D350" s="11">
        <f>IF(B350="","",$H$5)</f>
        <v/>
      </c>
      <c r="E350" s="11">
        <f>IF(B350="","",G349*$D$5/12)</f>
        <v/>
      </c>
      <c r="F350" s="11">
        <f>IF(B350="","",D350-E350)</f>
        <v/>
      </c>
      <c r="G350" s="11">
        <f>IF(B350="","",G349-F350)</f>
        <v/>
      </c>
    </row>
    <row r="351">
      <c r="B351" s="7">
        <f>IF(342&lt;=$H$4,342,"")</f>
        <v/>
      </c>
      <c r="C351" s="14">
        <f>IF(B351="","",EDATE($D$7,342-1))</f>
        <v/>
      </c>
      <c r="D351" s="11">
        <f>IF(B351="","",$H$5)</f>
        <v/>
      </c>
      <c r="E351" s="11">
        <f>IF(B351="","",G350*$D$5/12)</f>
        <v/>
      </c>
      <c r="F351" s="11">
        <f>IF(B351="","",D351-E351)</f>
        <v/>
      </c>
      <c r="G351" s="11">
        <f>IF(B351="","",G350-F351)</f>
        <v/>
      </c>
    </row>
    <row r="352">
      <c r="B352" s="7">
        <f>IF(343&lt;=$H$4,343,"")</f>
        <v/>
      </c>
      <c r="C352" s="14">
        <f>IF(B352="","",EDATE($D$7,343-1))</f>
        <v/>
      </c>
      <c r="D352" s="11">
        <f>IF(B352="","",$H$5)</f>
        <v/>
      </c>
      <c r="E352" s="11">
        <f>IF(B352="","",G351*$D$5/12)</f>
        <v/>
      </c>
      <c r="F352" s="11">
        <f>IF(B352="","",D352-E352)</f>
        <v/>
      </c>
      <c r="G352" s="11">
        <f>IF(B352="","",G351-F352)</f>
        <v/>
      </c>
    </row>
    <row r="353">
      <c r="B353" s="7">
        <f>IF(344&lt;=$H$4,344,"")</f>
        <v/>
      </c>
      <c r="C353" s="14">
        <f>IF(B353="","",EDATE($D$7,344-1))</f>
        <v/>
      </c>
      <c r="D353" s="11">
        <f>IF(B353="","",$H$5)</f>
        <v/>
      </c>
      <c r="E353" s="11">
        <f>IF(B353="","",G352*$D$5/12)</f>
        <v/>
      </c>
      <c r="F353" s="11">
        <f>IF(B353="","",D353-E353)</f>
        <v/>
      </c>
      <c r="G353" s="11">
        <f>IF(B353="","",G352-F353)</f>
        <v/>
      </c>
    </row>
    <row r="354">
      <c r="B354" s="7">
        <f>IF(345&lt;=$H$4,345,"")</f>
        <v/>
      </c>
      <c r="C354" s="14">
        <f>IF(B354="","",EDATE($D$7,345-1))</f>
        <v/>
      </c>
      <c r="D354" s="11">
        <f>IF(B354="","",$H$5)</f>
        <v/>
      </c>
      <c r="E354" s="11">
        <f>IF(B354="","",G353*$D$5/12)</f>
        <v/>
      </c>
      <c r="F354" s="11">
        <f>IF(B354="","",D354-E354)</f>
        <v/>
      </c>
      <c r="G354" s="11">
        <f>IF(B354="","",G353-F354)</f>
        <v/>
      </c>
    </row>
    <row r="355">
      <c r="B355" s="7">
        <f>IF(346&lt;=$H$4,346,"")</f>
        <v/>
      </c>
      <c r="C355" s="14">
        <f>IF(B355="","",EDATE($D$7,346-1))</f>
        <v/>
      </c>
      <c r="D355" s="11">
        <f>IF(B355="","",$H$5)</f>
        <v/>
      </c>
      <c r="E355" s="11">
        <f>IF(B355="","",G354*$D$5/12)</f>
        <v/>
      </c>
      <c r="F355" s="11">
        <f>IF(B355="","",D355-E355)</f>
        <v/>
      </c>
      <c r="G355" s="11">
        <f>IF(B355="","",G354-F355)</f>
        <v/>
      </c>
    </row>
    <row r="356">
      <c r="B356" s="7">
        <f>IF(347&lt;=$H$4,347,"")</f>
        <v/>
      </c>
      <c r="C356" s="14">
        <f>IF(B356="","",EDATE($D$7,347-1))</f>
        <v/>
      </c>
      <c r="D356" s="11">
        <f>IF(B356="","",$H$5)</f>
        <v/>
      </c>
      <c r="E356" s="11">
        <f>IF(B356="","",G355*$D$5/12)</f>
        <v/>
      </c>
      <c r="F356" s="11">
        <f>IF(B356="","",D356-E356)</f>
        <v/>
      </c>
      <c r="G356" s="11">
        <f>IF(B356="","",G355-F356)</f>
        <v/>
      </c>
    </row>
    <row r="357">
      <c r="B357" s="7">
        <f>IF(348&lt;=$H$4,348,"")</f>
        <v/>
      </c>
      <c r="C357" s="14">
        <f>IF(B357="","",EDATE($D$7,348-1))</f>
        <v/>
      </c>
      <c r="D357" s="11">
        <f>IF(B357="","",$H$5)</f>
        <v/>
      </c>
      <c r="E357" s="11">
        <f>IF(B357="","",G356*$D$5/12)</f>
        <v/>
      </c>
      <c r="F357" s="11">
        <f>IF(B357="","",D357-E357)</f>
        <v/>
      </c>
      <c r="G357" s="11">
        <f>IF(B357="","",G356-F357)</f>
        <v/>
      </c>
    </row>
    <row r="358">
      <c r="B358" s="7">
        <f>IF(349&lt;=$H$4,349,"")</f>
        <v/>
      </c>
      <c r="C358" s="14">
        <f>IF(B358="","",EDATE($D$7,349-1))</f>
        <v/>
      </c>
      <c r="D358" s="11">
        <f>IF(B358="","",$H$5)</f>
        <v/>
      </c>
      <c r="E358" s="11">
        <f>IF(B358="","",G357*$D$5/12)</f>
        <v/>
      </c>
      <c r="F358" s="11">
        <f>IF(B358="","",D358-E358)</f>
        <v/>
      </c>
      <c r="G358" s="11">
        <f>IF(B358="","",G357-F358)</f>
        <v/>
      </c>
    </row>
    <row r="359">
      <c r="B359" s="7">
        <f>IF(350&lt;=$H$4,350,"")</f>
        <v/>
      </c>
      <c r="C359" s="14">
        <f>IF(B359="","",EDATE($D$7,350-1))</f>
        <v/>
      </c>
      <c r="D359" s="11">
        <f>IF(B359="","",$H$5)</f>
        <v/>
      </c>
      <c r="E359" s="11">
        <f>IF(B359="","",G358*$D$5/12)</f>
        <v/>
      </c>
      <c r="F359" s="11">
        <f>IF(B359="","",D359-E359)</f>
        <v/>
      </c>
      <c r="G359" s="11">
        <f>IF(B359="","",G358-F359)</f>
        <v/>
      </c>
    </row>
    <row r="360">
      <c r="B360" s="7">
        <f>IF(351&lt;=$H$4,351,"")</f>
        <v/>
      </c>
      <c r="C360" s="14">
        <f>IF(B360="","",EDATE($D$7,351-1))</f>
        <v/>
      </c>
      <c r="D360" s="11">
        <f>IF(B360="","",$H$5)</f>
        <v/>
      </c>
      <c r="E360" s="11">
        <f>IF(B360="","",G359*$D$5/12)</f>
        <v/>
      </c>
      <c r="F360" s="11">
        <f>IF(B360="","",D360-E360)</f>
        <v/>
      </c>
      <c r="G360" s="11">
        <f>IF(B360="","",G359-F360)</f>
        <v/>
      </c>
    </row>
    <row r="361">
      <c r="B361" s="7">
        <f>IF(352&lt;=$H$4,352,"")</f>
        <v/>
      </c>
      <c r="C361" s="14">
        <f>IF(B361="","",EDATE($D$7,352-1))</f>
        <v/>
      </c>
      <c r="D361" s="11">
        <f>IF(B361="","",$H$5)</f>
        <v/>
      </c>
      <c r="E361" s="11">
        <f>IF(B361="","",G360*$D$5/12)</f>
        <v/>
      </c>
      <c r="F361" s="11">
        <f>IF(B361="","",D361-E361)</f>
        <v/>
      </c>
      <c r="G361" s="11">
        <f>IF(B361="","",G360-F361)</f>
        <v/>
      </c>
    </row>
    <row r="362">
      <c r="B362" s="7">
        <f>IF(353&lt;=$H$4,353,"")</f>
        <v/>
      </c>
      <c r="C362" s="14">
        <f>IF(B362="","",EDATE($D$7,353-1))</f>
        <v/>
      </c>
      <c r="D362" s="11">
        <f>IF(B362="","",$H$5)</f>
        <v/>
      </c>
      <c r="E362" s="11">
        <f>IF(B362="","",G361*$D$5/12)</f>
        <v/>
      </c>
      <c r="F362" s="11">
        <f>IF(B362="","",D362-E362)</f>
        <v/>
      </c>
      <c r="G362" s="11">
        <f>IF(B362="","",G361-F362)</f>
        <v/>
      </c>
    </row>
    <row r="363">
      <c r="B363" s="7">
        <f>IF(354&lt;=$H$4,354,"")</f>
        <v/>
      </c>
      <c r="C363" s="14">
        <f>IF(B363="","",EDATE($D$7,354-1))</f>
        <v/>
      </c>
      <c r="D363" s="11">
        <f>IF(B363="","",$H$5)</f>
        <v/>
      </c>
      <c r="E363" s="11">
        <f>IF(B363="","",G362*$D$5/12)</f>
        <v/>
      </c>
      <c r="F363" s="11">
        <f>IF(B363="","",D363-E363)</f>
        <v/>
      </c>
      <c r="G363" s="11">
        <f>IF(B363="","",G362-F363)</f>
        <v/>
      </c>
    </row>
    <row r="364">
      <c r="B364" s="7">
        <f>IF(355&lt;=$H$4,355,"")</f>
        <v/>
      </c>
      <c r="C364" s="14">
        <f>IF(B364="","",EDATE($D$7,355-1))</f>
        <v/>
      </c>
      <c r="D364" s="11">
        <f>IF(B364="","",$H$5)</f>
        <v/>
      </c>
      <c r="E364" s="11">
        <f>IF(B364="","",G363*$D$5/12)</f>
        <v/>
      </c>
      <c r="F364" s="11">
        <f>IF(B364="","",D364-E364)</f>
        <v/>
      </c>
      <c r="G364" s="11">
        <f>IF(B364="","",G363-F364)</f>
        <v/>
      </c>
    </row>
    <row r="365">
      <c r="B365" s="7">
        <f>IF(356&lt;=$H$4,356,"")</f>
        <v/>
      </c>
      <c r="C365" s="14">
        <f>IF(B365="","",EDATE($D$7,356-1))</f>
        <v/>
      </c>
      <c r="D365" s="11">
        <f>IF(B365="","",$H$5)</f>
        <v/>
      </c>
      <c r="E365" s="11">
        <f>IF(B365="","",G364*$D$5/12)</f>
        <v/>
      </c>
      <c r="F365" s="11">
        <f>IF(B365="","",D365-E365)</f>
        <v/>
      </c>
      <c r="G365" s="11">
        <f>IF(B365="","",G364-F365)</f>
        <v/>
      </c>
    </row>
    <row r="366">
      <c r="B366" s="7">
        <f>IF(357&lt;=$H$4,357,"")</f>
        <v/>
      </c>
      <c r="C366" s="14">
        <f>IF(B366="","",EDATE($D$7,357-1))</f>
        <v/>
      </c>
      <c r="D366" s="11">
        <f>IF(B366="","",$H$5)</f>
        <v/>
      </c>
      <c r="E366" s="11">
        <f>IF(B366="","",G365*$D$5/12)</f>
        <v/>
      </c>
      <c r="F366" s="11">
        <f>IF(B366="","",D366-E366)</f>
        <v/>
      </c>
      <c r="G366" s="11">
        <f>IF(B366="","",G365-F366)</f>
        <v/>
      </c>
    </row>
    <row r="367">
      <c r="B367" s="7">
        <f>IF(358&lt;=$H$4,358,"")</f>
        <v/>
      </c>
      <c r="C367" s="14">
        <f>IF(B367="","",EDATE($D$7,358-1))</f>
        <v/>
      </c>
      <c r="D367" s="11">
        <f>IF(B367="","",$H$5)</f>
        <v/>
      </c>
      <c r="E367" s="11">
        <f>IF(B367="","",G366*$D$5/12)</f>
        <v/>
      </c>
      <c r="F367" s="11">
        <f>IF(B367="","",D367-E367)</f>
        <v/>
      </c>
      <c r="G367" s="11">
        <f>IF(B367="","",G366-F367)</f>
        <v/>
      </c>
    </row>
    <row r="368">
      <c r="B368" s="7">
        <f>IF(359&lt;=$H$4,359,"")</f>
        <v/>
      </c>
      <c r="C368" s="14">
        <f>IF(B368="","",EDATE($D$7,359-1))</f>
        <v/>
      </c>
      <c r="D368" s="11">
        <f>IF(B368="","",$H$5)</f>
        <v/>
      </c>
      <c r="E368" s="11">
        <f>IF(B368="","",G367*$D$5/12)</f>
        <v/>
      </c>
      <c r="F368" s="11">
        <f>IF(B368="","",D368-E368)</f>
        <v/>
      </c>
      <c r="G368" s="11">
        <f>IF(B368="","",G367-F368)</f>
        <v/>
      </c>
    </row>
    <row r="369">
      <c r="B369" s="7">
        <f>IF(360&lt;=$H$4,360,"")</f>
        <v/>
      </c>
      <c r="C369" s="14">
        <f>IF(B369="","",EDATE($D$7,360-1))</f>
        <v/>
      </c>
      <c r="D369" s="11">
        <f>IF(B369="","",$H$5)</f>
        <v/>
      </c>
      <c r="E369" s="11">
        <f>IF(B369="","",G368*$D$5/12)</f>
        <v/>
      </c>
      <c r="F369" s="11">
        <f>IF(B369="","",D369-E369)</f>
        <v/>
      </c>
      <c r="G369" s="11">
        <f>IF(B369="","",G368-F369)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2026-09-08T16:39:58Z</dcterms:created>
  <dcterms:modified xmlns:dcterms="http://purl.org/dc/terms/" xmlns:xsi="http://www.w3.org/2001/XMLSchema-instance" xsi:type="dcterms:W3CDTF">2026-09-08T16:39:58Z</dcterms:modified>
</cp:coreProperties>
</file>