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Libros" sheetId="2" state="visible" r:id="rId2"/>
    <sheet xmlns:r="http://schemas.openxmlformats.org/officeDocument/2006/relationships" name="Préstamo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000"/>
    <numFmt numFmtId="166" formatCode="yyyy-mm-dd"/>
    <numFmt numFmtId="167" formatCode="0.0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b val="1"/>
      <color rgb="00047857"/>
      <sz val="10"/>
    </font>
    <font>
      <name val="Arial"/>
      <color rgb="00047857"/>
      <sz val="10"/>
    </font>
    <font>
      <name val="Arial"/>
      <color rgb="006B7280"/>
      <sz val="8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i val="1"/>
      <color rgb="006B7280"/>
      <sz val="9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1" fillId="6" borderId="0" applyAlignment="1" pivotButton="0" quotePrefix="0" xfId="0">
      <alignment horizontal="center" vertical="center" wrapText="1"/>
    </xf>
    <xf numFmtId="1" fontId="12" fillId="6" borderId="0" applyAlignment="1" pivotButton="0" quotePrefix="0" xfId="0">
      <alignment horizontal="center" vertical="center"/>
    </xf>
    <xf numFmtId="167" fontId="12" fillId="6" borderId="0" applyAlignment="1" pivotButton="0" quotePrefix="0" xfId="0">
      <alignment horizontal="center" vertical="center"/>
    </xf>
    <xf numFmtId="9" fontId="12" fillId="6" borderId="0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1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/>
    </xf>
    <xf numFmtId="1" fontId="6" fillId="0" borderId="1" applyAlignment="1" pivotButton="0" quotePrefix="0" xfId="0">
      <alignment horizontal="center" vertical="center"/>
    </xf>
    <xf numFmtId="167" fontId="6" fillId="0" borderId="1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1" fontId="9" fillId="5" borderId="1" applyAlignment="1" pivotButton="0" quotePrefix="0" xfId="0">
      <alignment vertical="center"/>
    </xf>
    <xf numFmtId="0" fontId="4" fillId="4" borderId="1" applyAlignment="1" applyProtection="1" pivotButton="0" quotePrefix="0" xfId="0">
      <alignment horizontal="center" vertical="center"/>
      <protection locked="0" hidden="0"/>
    </xf>
    <xf numFmtId="0" fontId="4" fillId="4" borderId="1" applyAlignment="1" applyProtection="1" pivotButton="0" quotePrefix="0" xfId="0">
      <alignment vertical="center"/>
      <protection locked="0" hidden="0"/>
    </xf>
    <xf numFmtId="0" fontId="5" fillId="0" borderId="1" applyAlignment="1" pivotButton="0" quotePrefix="0" xfId="0">
      <alignment horizontal="center" vertical="center"/>
    </xf>
    <xf numFmtId="165" fontId="7" fillId="0" borderId="1" applyAlignment="1" pivotButton="0" quotePrefix="0" xfId="0">
      <alignment horizontal="center" vertical="center"/>
    </xf>
    <xf numFmtId="0" fontId="9" fillId="5" borderId="1" applyAlignment="1" pivotButton="0" quotePrefix="0" xfId="0">
      <alignment vertical="center"/>
    </xf>
    <xf numFmtId="164" fontId="4" fillId="4" borderId="1" applyAlignment="1" applyProtection="1" pivotButton="0" quotePrefix="0" xfId="0">
      <alignment horizontal="center" vertical="center"/>
      <protection locked="0" hidden="0"/>
    </xf>
    <xf numFmtId="1" fontId="4" fillId="4" borderId="1" applyAlignment="1" applyProtection="1" pivotButton="0" quotePrefix="0" xfId="0">
      <alignment horizontal="center" vertical="center"/>
      <protection locked="0" hidden="0"/>
    </xf>
    <xf numFmtId="0" fontId="7" fillId="0" borderId="1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6">
    <dxf>
      <fill>
        <patternFill patternType="solid">
          <fgColor rgb="00F4FAF6"/>
          <bgColor rgb="00F4FAF6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ill>
        <patternFill patternType="solid">
          <fgColor rgb="00FEE2E2"/>
          <bgColor rgb="00FEE2E2"/>
        </patternFill>
      </fill>
    </dxf>
    <dxf>
      <font>
        <b val="1"/>
        <color rgb="0012744A"/>
      </font>
      <fill>
        <patternFill patternType="solid">
          <fgColor rgb="00ECFDF5"/>
          <bgColor rgb="00ECFD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Libros más prestados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'Panel'!$B$13:$B$17</f>
            </numRef>
          </cat>
          <val>
            <numRef>
              <f>'Panel'!$D$13:$D$17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Préstamos por género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'Panel'!D40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'Panel'!$B$41:$B$47</f>
            </numRef>
          </cat>
          <val>
            <numRef>
              <f>'Panel'!$D$41:$D$47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8</col>
      <colOff>0</colOff>
      <row>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22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4A2F"/>
    <outlinePr summaryBelow="1" summaryRight="1"/>
    <pageSetUpPr fitToPage="1"/>
  </sheetPr>
  <dimension ref="B2:G57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36" customWidth="1" min="2" max="2"/>
    <col width="22" customWidth="1" min="3" max="3"/>
    <col width="15" customWidth="1" min="4" max="4"/>
    <col width="15" customWidth="1" min="5" max="5"/>
    <col width="15" customWidth="1" min="6" max="6"/>
    <col width="15" customWidth="1" min="7" max="7"/>
    <col width="3" customWidth="1" min="8" max="8"/>
  </cols>
  <sheetData>
    <row r="2" ht="34" customHeight="1">
      <c r="B2" s="1" t="inlineStr">
        <is>
          <t>Panel de la biblioteca de aula</t>
        </is>
      </c>
      <c r="C2" s="2" t="n"/>
      <c r="D2" s="2" t="n"/>
      <c r="E2" s="2" t="n"/>
      <c r="F2" s="2" t="n"/>
      <c r="G2" s="2" t="n"/>
    </row>
    <row r="3">
      <c r="B3" s="3" t="inlineStr">
        <is>
          <t>Resumen automático de las hojas Libros y Préstamos (usa la fecha de control indicada en Préstamos).</t>
        </is>
      </c>
    </row>
    <row r="5" ht="30" customHeight="1">
      <c r="B5" s="4" t="inlineStr">
        <is>
          <t>LIBROS EN EL CATÁLOGO</t>
        </is>
      </c>
      <c r="C5" s="4" t="inlineStr">
        <is>
          <t>PRESTADOS AHORA</t>
        </is>
      </c>
      <c r="E5" s="4" t="inlineStr">
        <is>
          <t>DISPONIBLES</t>
        </is>
      </c>
      <c r="G5" s="4" t="inlineStr">
        <is>
          <t>PRÉSTAMOS REALIZADOS</t>
        </is>
      </c>
    </row>
    <row r="6" ht="38" customHeight="1">
      <c r="B6" s="5">
        <f>COUNTIF(Libros!$B$6:$B$45,"?*")</f>
        <v/>
      </c>
      <c r="C6" s="5">
        <f>COUNTIF(Libros!$J$6:$J$45,"Prestado")</f>
        <v/>
      </c>
      <c r="E6" s="5">
        <f>COUNTIF(Libros!$J$6:$J$45,"Disponible")</f>
        <v/>
      </c>
      <c r="G6" s="5">
        <f>COUNT('Préstamos'!$E$10:$E$69)</f>
        <v/>
      </c>
    </row>
    <row r="8" ht="30" customHeight="1">
      <c r="B8" s="4" t="inlineStr">
        <is>
          <t>DEVOLUCIONES RETRASADAS</t>
        </is>
      </c>
      <c r="C8" s="4" t="inlineStr">
        <is>
          <t>RETRASO MEDIO (DÍAS)</t>
        </is>
      </c>
      <c r="E8" s="4" t="inlineStr">
        <is>
          <t>% DEL CATÁLOGO EN PRÉSTAMO</t>
        </is>
      </c>
      <c r="G8" s="4" t="inlineStr">
        <is>
          <t>ALUMNOS LECTORES</t>
        </is>
      </c>
    </row>
    <row r="9" ht="38" customHeight="1">
      <c r="B9" s="5">
        <f>COUNTIF('Préstamos'!$H$10:$H$69,"Retrasado")</f>
        <v/>
      </c>
      <c r="C9" s="6">
        <f>IF(B9=0,0,ROUND(SUMIF('Préstamos'!$H$10:$H$69,"Retrasado",'Préstamos'!$I$10:$I$69)/B9,1))</f>
        <v/>
      </c>
      <c r="E9" s="7">
        <f>IF(B6=0,0,C6/B6)</f>
        <v/>
      </c>
      <c r="G9" s="5">
        <f>COUNT('Préstamos'!$O$10:$O$69)</f>
        <v/>
      </c>
    </row>
    <row r="11">
      <c r="B11" s="8" t="inlineStr">
        <is>
          <t>LIBROS MÁS PRESTADOS</t>
        </is>
      </c>
    </row>
    <row r="12" ht="26" customHeight="1">
      <c r="B12" s="9" t="inlineStr">
        <is>
          <t>Título</t>
        </is>
      </c>
      <c r="C12" s="9" t="inlineStr">
        <is>
          <t>Autor</t>
        </is>
      </c>
      <c r="D12" s="9" t="inlineStr">
        <is>
          <t>Préstamos</t>
        </is>
      </c>
      <c r="E12" s="9" t="inlineStr">
        <is>
          <t>Ahora</t>
        </is>
      </c>
    </row>
    <row r="13">
      <c r="B13" s="10">
        <f>IFERROR(IF(INT(LARGE(Libros!$M$6:$M$45,1))&lt;1,"",INDEX(Libros!$C$6:$C$45,MATCH(LARGE(Libros!$M$6:$M$45,1),Libros!$M$6:$M$45,0))),"")</f>
        <v/>
      </c>
      <c r="C13" s="11">
        <f>IF(B13="","",INDEX(Libros!$D$6:$D$45,MATCH(LARGE(Libros!$M$6:$M$45,1),Libros!$M$6:$M$45,0)))</f>
        <v/>
      </c>
      <c r="D13" s="12">
        <f>IF(B13="","",INT(LARGE(Libros!$M$6:$M$45,1)))</f>
        <v/>
      </c>
      <c r="E13" s="13">
        <f>IF(B13="","",INDEX(Libros!$J$6:$J$45,MATCH(LARGE(Libros!$M$6:$M$45,1),Libros!$M$6:$M$45,0)))</f>
        <v/>
      </c>
    </row>
    <row r="14">
      <c r="B14" s="10">
        <f>IFERROR(IF(INT(LARGE(Libros!$M$6:$M$45,2))&lt;1,"",INDEX(Libros!$C$6:$C$45,MATCH(LARGE(Libros!$M$6:$M$45,2),Libros!$M$6:$M$45,0))),"")</f>
        <v/>
      </c>
      <c r="C14" s="11">
        <f>IF(B14="","",INDEX(Libros!$D$6:$D$45,MATCH(LARGE(Libros!$M$6:$M$45,2),Libros!$M$6:$M$45,0)))</f>
        <v/>
      </c>
      <c r="D14" s="12">
        <f>IF(B14="","",INT(LARGE(Libros!$M$6:$M$45,2)))</f>
        <v/>
      </c>
      <c r="E14" s="13">
        <f>IF(B14="","",INDEX(Libros!$J$6:$J$45,MATCH(LARGE(Libros!$M$6:$M$45,2),Libros!$M$6:$M$45,0)))</f>
        <v/>
      </c>
    </row>
    <row r="15">
      <c r="B15" s="10">
        <f>IFERROR(IF(INT(LARGE(Libros!$M$6:$M$45,3))&lt;1,"",INDEX(Libros!$C$6:$C$45,MATCH(LARGE(Libros!$M$6:$M$45,3),Libros!$M$6:$M$45,0))),"")</f>
        <v/>
      </c>
      <c r="C15" s="11">
        <f>IF(B15="","",INDEX(Libros!$D$6:$D$45,MATCH(LARGE(Libros!$M$6:$M$45,3),Libros!$M$6:$M$45,0)))</f>
        <v/>
      </c>
      <c r="D15" s="12">
        <f>IF(B15="","",INT(LARGE(Libros!$M$6:$M$45,3)))</f>
        <v/>
      </c>
      <c r="E15" s="13">
        <f>IF(B15="","",INDEX(Libros!$J$6:$J$45,MATCH(LARGE(Libros!$M$6:$M$45,3),Libros!$M$6:$M$45,0)))</f>
        <v/>
      </c>
    </row>
    <row r="16">
      <c r="B16" s="10">
        <f>IFERROR(IF(INT(LARGE(Libros!$M$6:$M$45,4))&lt;1,"",INDEX(Libros!$C$6:$C$45,MATCH(LARGE(Libros!$M$6:$M$45,4),Libros!$M$6:$M$45,0))),"")</f>
        <v/>
      </c>
      <c r="C16" s="11">
        <f>IF(B16="","",INDEX(Libros!$D$6:$D$45,MATCH(LARGE(Libros!$M$6:$M$45,4),Libros!$M$6:$M$45,0)))</f>
        <v/>
      </c>
      <c r="D16" s="12">
        <f>IF(B16="","",INT(LARGE(Libros!$M$6:$M$45,4)))</f>
        <v/>
      </c>
      <c r="E16" s="13">
        <f>IF(B16="","",INDEX(Libros!$J$6:$J$45,MATCH(LARGE(Libros!$M$6:$M$45,4),Libros!$M$6:$M$45,0)))</f>
        <v/>
      </c>
    </row>
    <row r="17">
      <c r="B17" s="10">
        <f>IFERROR(IF(INT(LARGE(Libros!$M$6:$M$45,5))&lt;1,"",INDEX(Libros!$C$6:$C$45,MATCH(LARGE(Libros!$M$6:$M$45,5),Libros!$M$6:$M$45,0))),"")</f>
        <v/>
      </c>
      <c r="C17" s="11">
        <f>IF(B17="","",INDEX(Libros!$D$6:$D$45,MATCH(LARGE(Libros!$M$6:$M$45,5),Libros!$M$6:$M$45,0)))</f>
        <v/>
      </c>
      <c r="D17" s="12">
        <f>IF(B17="","",INT(LARGE(Libros!$M$6:$M$45,5)))</f>
        <v/>
      </c>
      <c r="E17" s="13">
        <f>IF(B17="","",INDEX(Libros!$J$6:$J$45,MATCH(LARGE(Libros!$M$6:$M$45,5),Libros!$M$6:$M$45,0)))</f>
        <v/>
      </c>
    </row>
    <row r="19">
      <c r="B19" s="8" t="inlineStr">
        <is>
          <t>AVISOS: DEVOLUCIONES RETRASADAS (LAS MÁS URGENTES PRIMERO)</t>
        </is>
      </c>
    </row>
    <row r="20" ht="26" customHeight="1">
      <c r="B20" s="9" t="inlineStr">
        <is>
          <t>Libro</t>
        </is>
      </c>
      <c r="C20" s="9" t="inlineStr">
        <is>
          <t>Alumno</t>
        </is>
      </c>
      <c r="D20" s="9" t="inlineStr">
        <is>
          <t>Prevista</t>
        </is>
      </c>
      <c r="E20" s="9" t="inlineStr">
        <is>
          <t>Días de retraso</t>
        </is>
      </c>
    </row>
    <row r="21">
      <c r="B21" s="10">
        <f>IFERROR(INDEX('Préstamos'!$C$10:$C$69,MATCH(LARGE('Préstamos'!$N$10:$N$69,1),'Préstamos'!$N$10:$N$69,0)),"")</f>
        <v/>
      </c>
      <c r="C21" s="11">
        <f>IF(B21="","",INDEX('Préstamos'!$D$10:$D$69,MATCH(LARGE('Préstamos'!$N$10:$N$69,1),'Préstamos'!$N$10:$N$69,0)))</f>
        <v/>
      </c>
      <c r="D21" s="14">
        <f>IF(B21="","",INDEX('Préstamos'!$F$10:$F$69,MATCH(LARGE('Préstamos'!$N$10:$N$69,1),'Préstamos'!$N$10:$N$69,0)))</f>
        <v/>
      </c>
      <c r="E21" s="12">
        <f>IF(B21="","",INDEX('Préstamos'!$I$10:$I$69,MATCH(LARGE('Préstamos'!$N$10:$N$69,1),'Préstamos'!$N$10:$N$69,0)))</f>
        <v/>
      </c>
    </row>
    <row r="22">
      <c r="B22" s="10">
        <f>IFERROR(INDEX('Préstamos'!$C$10:$C$69,MATCH(LARGE('Préstamos'!$N$10:$N$69,2),'Préstamos'!$N$10:$N$69,0)),"")</f>
        <v/>
      </c>
      <c r="C22" s="11">
        <f>IF(B22="","",INDEX('Préstamos'!$D$10:$D$69,MATCH(LARGE('Préstamos'!$N$10:$N$69,2),'Préstamos'!$N$10:$N$69,0)))</f>
        <v/>
      </c>
      <c r="D22" s="14">
        <f>IF(B22="","",INDEX('Préstamos'!$F$10:$F$69,MATCH(LARGE('Préstamos'!$N$10:$N$69,2),'Préstamos'!$N$10:$N$69,0)))</f>
        <v/>
      </c>
      <c r="E22" s="12">
        <f>IF(B22="","",INDEX('Préstamos'!$I$10:$I$69,MATCH(LARGE('Préstamos'!$N$10:$N$69,2),'Préstamos'!$N$10:$N$69,0)))</f>
        <v/>
      </c>
    </row>
    <row r="23">
      <c r="B23" s="10">
        <f>IFERROR(INDEX('Préstamos'!$C$10:$C$69,MATCH(LARGE('Préstamos'!$N$10:$N$69,3),'Préstamos'!$N$10:$N$69,0)),"")</f>
        <v/>
      </c>
      <c r="C23" s="11">
        <f>IF(B23="","",INDEX('Préstamos'!$D$10:$D$69,MATCH(LARGE('Préstamos'!$N$10:$N$69,3),'Préstamos'!$N$10:$N$69,0)))</f>
        <v/>
      </c>
      <c r="D23" s="14">
        <f>IF(B23="","",INDEX('Préstamos'!$F$10:$F$69,MATCH(LARGE('Préstamos'!$N$10:$N$69,3),'Préstamos'!$N$10:$N$69,0)))</f>
        <v/>
      </c>
      <c r="E23" s="12">
        <f>IF(B23="","",INDEX('Préstamos'!$I$10:$I$69,MATCH(LARGE('Préstamos'!$N$10:$N$69,3),'Préstamos'!$N$10:$N$69,0)))</f>
        <v/>
      </c>
    </row>
    <row r="24">
      <c r="B24" s="10">
        <f>IFERROR(INDEX('Préstamos'!$C$10:$C$69,MATCH(LARGE('Préstamos'!$N$10:$N$69,4),'Préstamos'!$N$10:$N$69,0)),"")</f>
        <v/>
      </c>
      <c r="C24" s="11">
        <f>IF(B24="","",INDEX('Préstamos'!$D$10:$D$69,MATCH(LARGE('Préstamos'!$N$10:$N$69,4),'Préstamos'!$N$10:$N$69,0)))</f>
        <v/>
      </c>
      <c r="D24" s="14">
        <f>IF(B24="","",INDEX('Préstamos'!$F$10:$F$69,MATCH(LARGE('Préstamos'!$N$10:$N$69,4),'Préstamos'!$N$10:$N$69,0)))</f>
        <v/>
      </c>
      <c r="E24" s="12">
        <f>IF(B24="","",INDEX('Préstamos'!$I$10:$I$69,MATCH(LARGE('Préstamos'!$N$10:$N$69,4),'Préstamos'!$N$10:$N$69,0)))</f>
        <v/>
      </c>
    </row>
    <row r="25">
      <c r="B25" s="10">
        <f>IFERROR(INDEX('Préstamos'!$C$10:$C$69,MATCH(LARGE('Préstamos'!$N$10:$N$69,5),'Préstamos'!$N$10:$N$69,0)),"")</f>
        <v/>
      </c>
      <c r="C25" s="11">
        <f>IF(B25="","",INDEX('Préstamos'!$D$10:$D$69,MATCH(LARGE('Préstamos'!$N$10:$N$69,5),'Préstamos'!$N$10:$N$69,0)))</f>
        <v/>
      </c>
      <c r="D25" s="14">
        <f>IF(B25="","",INDEX('Préstamos'!$F$10:$F$69,MATCH(LARGE('Préstamos'!$N$10:$N$69,5),'Préstamos'!$N$10:$N$69,0)))</f>
        <v/>
      </c>
      <c r="E25" s="12">
        <f>IF(B25="","",INDEX('Préstamos'!$I$10:$I$69,MATCH(LARGE('Préstamos'!$N$10:$N$69,5),'Préstamos'!$N$10:$N$69,0)))</f>
        <v/>
      </c>
    </row>
    <row r="26">
      <c r="B26" s="10">
        <f>IFERROR(INDEX('Préstamos'!$C$10:$C$69,MATCH(LARGE('Préstamos'!$N$10:$N$69,6),'Préstamos'!$N$10:$N$69,0)),"")</f>
        <v/>
      </c>
      <c r="C26" s="11">
        <f>IF(B26="","",INDEX('Préstamos'!$D$10:$D$69,MATCH(LARGE('Préstamos'!$N$10:$N$69,6),'Préstamos'!$N$10:$N$69,0)))</f>
        <v/>
      </c>
      <c r="D26" s="14">
        <f>IF(B26="","",INDEX('Préstamos'!$F$10:$F$69,MATCH(LARGE('Préstamos'!$N$10:$N$69,6),'Préstamos'!$N$10:$N$69,0)))</f>
        <v/>
      </c>
      <c r="E26" s="12">
        <f>IF(B26="","",INDEX('Préstamos'!$I$10:$I$69,MATCH(LARGE('Préstamos'!$N$10:$N$69,6),'Préstamos'!$N$10:$N$69,0)))</f>
        <v/>
      </c>
    </row>
    <row r="27">
      <c r="B27" s="10">
        <f>IFERROR(INDEX('Préstamos'!$C$10:$C$69,MATCH(LARGE('Préstamos'!$N$10:$N$69,7),'Préstamos'!$N$10:$N$69,0)),"")</f>
        <v/>
      </c>
      <c r="C27" s="11">
        <f>IF(B27="","",INDEX('Préstamos'!$D$10:$D$69,MATCH(LARGE('Préstamos'!$N$10:$N$69,7),'Préstamos'!$N$10:$N$69,0)))</f>
        <v/>
      </c>
      <c r="D27" s="14">
        <f>IF(B27="","",INDEX('Préstamos'!$F$10:$F$69,MATCH(LARGE('Préstamos'!$N$10:$N$69,7),'Préstamos'!$N$10:$N$69,0)))</f>
        <v/>
      </c>
      <c r="E27" s="12">
        <f>IF(B27="","",INDEX('Préstamos'!$I$10:$I$69,MATCH(LARGE('Préstamos'!$N$10:$N$69,7),'Préstamos'!$N$10:$N$69,0)))</f>
        <v/>
      </c>
    </row>
    <row r="28">
      <c r="B28" s="10">
        <f>IFERROR(INDEX('Préstamos'!$C$10:$C$69,MATCH(LARGE('Préstamos'!$N$10:$N$69,8),'Préstamos'!$N$10:$N$69,0)),"")</f>
        <v/>
      </c>
      <c r="C28" s="11">
        <f>IF(B28="","",INDEX('Préstamos'!$D$10:$D$69,MATCH(LARGE('Préstamos'!$N$10:$N$69,8),'Préstamos'!$N$10:$N$69,0)))</f>
        <v/>
      </c>
      <c r="D28" s="14">
        <f>IF(B28="","",INDEX('Préstamos'!$F$10:$F$69,MATCH(LARGE('Préstamos'!$N$10:$N$69,8),'Préstamos'!$N$10:$N$69,0)))</f>
        <v/>
      </c>
      <c r="E28" s="12">
        <f>IF(B28="","",INDEX('Préstamos'!$I$10:$I$69,MATCH(LARGE('Préstamos'!$N$10:$N$69,8),'Préstamos'!$N$10:$N$69,0)))</f>
        <v/>
      </c>
    </row>
    <row r="29">
      <c r="B29" s="15" t="inlineStr">
        <is>
          <t>Si la lista está vacía, no hay devoluciones retrasadas. Muestra hasta 8 avisos a la vez.</t>
        </is>
      </c>
    </row>
    <row r="31">
      <c r="B31" s="8" t="inlineStr">
        <is>
          <t>ALUMNOS QUE MÁS LEEN</t>
        </is>
      </c>
    </row>
    <row r="32" ht="26" customHeight="1">
      <c r="B32" s="9" t="inlineStr">
        <is>
          <t>Alumno</t>
        </is>
      </c>
      <c r="C32" s="9" t="inlineStr">
        <is>
          <t>Préstamos</t>
        </is>
      </c>
      <c r="D32" s="9" t="inlineStr">
        <is>
          <t>Pendientes</t>
        </is>
      </c>
      <c r="E32" s="9" t="inlineStr">
        <is>
          <t>Con retraso</t>
        </is>
      </c>
    </row>
    <row r="33">
      <c r="B33" s="10">
        <f>IFERROR(INDEX('Préstamos'!$D$10:$D$69,MATCH(LARGE('Préstamos'!$O$10:$O$69,1),'Préstamos'!$O$10:$O$69,0)),"")</f>
        <v/>
      </c>
      <c r="C33" s="12">
        <f>IF(B33="","",INT(LARGE('Préstamos'!$O$10:$O$69,1)))</f>
        <v/>
      </c>
      <c r="D33" s="16">
        <f>IF(B33="","",SUMPRODUCT(('Préstamos'!$D$10:$D$69=B33)*('Préstamos'!$E$10:$E$69&lt;&gt;"")*('Préstamos'!$G$10:$G$69="")))</f>
        <v/>
      </c>
      <c r="E33" s="16">
        <f>IF(B33="","",COUNTIFS('Préstamos'!$D$10:$D$69,B33,'Préstamos'!$I$10:$I$69,"&gt;0"))</f>
        <v/>
      </c>
    </row>
    <row r="34">
      <c r="B34" s="10">
        <f>IFERROR(INDEX('Préstamos'!$D$10:$D$69,MATCH(LARGE('Préstamos'!$O$10:$O$69,2),'Préstamos'!$O$10:$O$69,0)),"")</f>
        <v/>
      </c>
      <c r="C34" s="12">
        <f>IF(B34="","",INT(LARGE('Préstamos'!$O$10:$O$69,2)))</f>
        <v/>
      </c>
      <c r="D34" s="16">
        <f>IF(B34="","",SUMPRODUCT(('Préstamos'!$D$10:$D$69=B34)*('Préstamos'!$E$10:$E$69&lt;&gt;"")*('Préstamos'!$G$10:$G$69="")))</f>
        <v/>
      </c>
      <c r="E34" s="16">
        <f>IF(B34="","",COUNTIFS('Préstamos'!$D$10:$D$69,B34,'Préstamos'!$I$10:$I$69,"&gt;0"))</f>
        <v/>
      </c>
    </row>
    <row r="35">
      <c r="B35" s="10">
        <f>IFERROR(INDEX('Préstamos'!$D$10:$D$69,MATCH(LARGE('Préstamos'!$O$10:$O$69,3),'Préstamos'!$O$10:$O$69,0)),"")</f>
        <v/>
      </c>
      <c r="C35" s="12">
        <f>IF(B35="","",INT(LARGE('Préstamos'!$O$10:$O$69,3)))</f>
        <v/>
      </c>
      <c r="D35" s="16">
        <f>IF(B35="","",SUMPRODUCT(('Préstamos'!$D$10:$D$69=B35)*('Préstamos'!$E$10:$E$69&lt;&gt;"")*('Préstamos'!$G$10:$G$69="")))</f>
        <v/>
      </c>
      <c r="E35" s="16">
        <f>IF(B35="","",COUNTIFS('Préstamos'!$D$10:$D$69,B35,'Préstamos'!$I$10:$I$69,"&gt;0"))</f>
        <v/>
      </c>
    </row>
    <row r="36">
      <c r="B36" s="10">
        <f>IFERROR(INDEX('Préstamos'!$D$10:$D$69,MATCH(LARGE('Préstamos'!$O$10:$O$69,4),'Préstamos'!$O$10:$O$69,0)),"")</f>
        <v/>
      </c>
      <c r="C36" s="12">
        <f>IF(B36="","",INT(LARGE('Préstamos'!$O$10:$O$69,4)))</f>
        <v/>
      </c>
      <c r="D36" s="16">
        <f>IF(B36="","",SUMPRODUCT(('Préstamos'!$D$10:$D$69=B36)*('Préstamos'!$E$10:$E$69&lt;&gt;"")*('Préstamos'!$G$10:$G$69="")))</f>
        <v/>
      </c>
      <c r="E36" s="16">
        <f>IF(B36="","",COUNTIFS('Préstamos'!$D$10:$D$69,B36,'Préstamos'!$I$10:$I$69,"&gt;0"))</f>
        <v/>
      </c>
    </row>
    <row r="37">
      <c r="B37" s="10">
        <f>IFERROR(INDEX('Préstamos'!$D$10:$D$69,MATCH(LARGE('Préstamos'!$O$10:$O$69,5),'Préstamos'!$O$10:$O$69,0)),"")</f>
        <v/>
      </c>
      <c r="C37" s="12">
        <f>IF(B37="","",INT(LARGE('Préstamos'!$O$10:$O$69,5)))</f>
        <v/>
      </c>
      <c r="D37" s="16">
        <f>IF(B37="","",SUMPRODUCT(('Préstamos'!$D$10:$D$69=B37)*('Préstamos'!$E$10:$E$69&lt;&gt;"")*('Préstamos'!$G$10:$G$69="")))</f>
        <v/>
      </c>
      <c r="E37" s="16">
        <f>IF(B37="","",COUNTIFS('Préstamos'!$D$10:$D$69,B37,'Préstamos'!$I$10:$I$69,"&gt;0"))</f>
        <v/>
      </c>
    </row>
    <row r="39">
      <c r="B39" s="8" t="inlineStr">
        <is>
          <t>PRÉSTAMOS POR GÉNERO</t>
        </is>
      </c>
    </row>
    <row r="40" ht="26" customHeight="1">
      <c r="B40" s="9" t="inlineStr">
        <is>
          <t>Género</t>
        </is>
      </c>
      <c r="C40" s="9" t="inlineStr">
        <is>
          <t>Libros</t>
        </is>
      </c>
      <c r="D40" s="9" t="inlineStr">
        <is>
          <t>Préstamos</t>
        </is>
      </c>
      <c r="E40" s="9" t="inlineStr">
        <is>
          <t>Préstamos por libro</t>
        </is>
      </c>
    </row>
    <row r="41">
      <c r="B41" s="10">
        <f>IF(Listas!A2="","",Listas!A2)</f>
        <v/>
      </c>
      <c r="C41" s="16">
        <f>IF(B41="","",COUNTIF(Libros!$E$6:$E$45,B41))</f>
        <v/>
      </c>
      <c r="D41" s="12">
        <f>IF(B41="","",SUMIF(Libros!$E$6:$E$45,B41,Libros!$I$6:$I$45))</f>
        <v/>
      </c>
      <c r="E41" s="17">
        <f>IF(B41="","",IF(C41=0,0,ROUND(D41/C41,1)))</f>
        <v/>
      </c>
    </row>
    <row r="42">
      <c r="B42" s="10">
        <f>IF(Listas!A3="","",Listas!A3)</f>
        <v/>
      </c>
      <c r="C42" s="16">
        <f>IF(B42="","",COUNTIF(Libros!$E$6:$E$45,B42))</f>
        <v/>
      </c>
      <c r="D42" s="12">
        <f>IF(B42="","",SUMIF(Libros!$E$6:$E$45,B42,Libros!$I$6:$I$45))</f>
        <v/>
      </c>
      <c r="E42" s="17">
        <f>IF(B42="","",IF(C42=0,0,ROUND(D42/C42,1)))</f>
        <v/>
      </c>
    </row>
    <row r="43">
      <c r="B43" s="10">
        <f>IF(Listas!A4="","",Listas!A4)</f>
        <v/>
      </c>
      <c r="C43" s="16">
        <f>IF(B43="","",COUNTIF(Libros!$E$6:$E$45,B43))</f>
        <v/>
      </c>
      <c r="D43" s="12">
        <f>IF(B43="","",SUMIF(Libros!$E$6:$E$45,B43,Libros!$I$6:$I$45))</f>
        <v/>
      </c>
      <c r="E43" s="17">
        <f>IF(B43="","",IF(C43=0,0,ROUND(D43/C43,1)))</f>
        <v/>
      </c>
    </row>
    <row r="44">
      <c r="B44" s="10">
        <f>IF(Listas!A5="","",Listas!A5)</f>
        <v/>
      </c>
      <c r="C44" s="16">
        <f>IF(B44="","",COUNTIF(Libros!$E$6:$E$45,B44))</f>
        <v/>
      </c>
      <c r="D44" s="12">
        <f>IF(B44="","",SUMIF(Libros!$E$6:$E$45,B44,Libros!$I$6:$I$45))</f>
        <v/>
      </c>
      <c r="E44" s="17">
        <f>IF(B44="","",IF(C44=0,0,ROUND(D44/C44,1)))</f>
        <v/>
      </c>
    </row>
    <row r="45">
      <c r="B45" s="10">
        <f>IF(Listas!A6="","",Listas!A6)</f>
        <v/>
      </c>
      <c r="C45" s="16">
        <f>IF(B45="","",COUNTIF(Libros!$E$6:$E$45,B45))</f>
        <v/>
      </c>
      <c r="D45" s="12">
        <f>IF(B45="","",SUMIF(Libros!$E$6:$E$45,B45,Libros!$I$6:$I$45))</f>
        <v/>
      </c>
      <c r="E45" s="17">
        <f>IF(B45="","",IF(C45=0,0,ROUND(D45/C45,1)))</f>
        <v/>
      </c>
    </row>
    <row r="46">
      <c r="B46" s="10">
        <f>IF(Listas!A7="","",Listas!A7)</f>
        <v/>
      </c>
      <c r="C46" s="16">
        <f>IF(B46="","",COUNTIF(Libros!$E$6:$E$45,B46))</f>
        <v/>
      </c>
      <c r="D46" s="12">
        <f>IF(B46="","",SUMIF(Libros!$E$6:$E$45,B46,Libros!$I$6:$I$45))</f>
        <v/>
      </c>
      <c r="E46" s="17">
        <f>IF(B46="","",IF(C46=0,0,ROUND(D46/C46,1)))</f>
        <v/>
      </c>
    </row>
    <row r="47">
      <c r="B47" s="10">
        <f>IF(Listas!A8="","",Listas!A8)</f>
        <v/>
      </c>
      <c r="C47" s="16">
        <f>IF(B47="","",COUNTIF(Libros!$E$6:$E$45,B47))</f>
        <v/>
      </c>
      <c r="D47" s="12">
        <f>IF(B47="","",SUMIF(Libros!$E$6:$E$45,B47,Libros!$I$6:$I$45))</f>
        <v/>
      </c>
      <c r="E47" s="17">
        <f>IF(B47="","",IF(C47=0,0,ROUND(D47/C47,1)))</f>
        <v/>
      </c>
    </row>
    <row r="48">
      <c r="B48" s="18" t="inlineStr">
        <is>
          <t>Total</t>
        </is>
      </c>
      <c r="C48" s="19">
        <f>SUM(C41:C47)</f>
        <v/>
      </c>
      <c r="D48" s="19">
        <f>SUM(D41:D47)</f>
        <v/>
      </c>
    </row>
    <row r="50">
      <c r="B50" s="8" t="inlineStr">
        <is>
          <t>ESTADO DE LOS PRÉSTAMOS</t>
        </is>
      </c>
    </row>
    <row r="51" ht="26" customHeight="1">
      <c r="B51" s="9" t="inlineStr">
        <is>
          <t>Estado</t>
        </is>
      </c>
      <c r="C51" s="9" t="inlineStr">
        <is>
          <t>Nº préstamos</t>
        </is>
      </c>
    </row>
    <row r="52">
      <c r="B52" s="10" t="inlineStr">
        <is>
          <t>Retrasado</t>
        </is>
      </c>
      <c r="C52" s="16">
        <f>COUNTIF('Préstamos'!$H$10:$H$69,B52)</f>
        <v/>
      </c>
    </row>
    <row r="53">
      <c r="B53" s="10" t="inlineStr">
        <is>
          <t>Vence pronto</t>
        </is>
      </c>
      <c r="C53" s="16">
        <f>COUNTIF('Préstamos'!$H$10:$H$69,B53)</f>
        <v/>
      </c>
    </row>
    <row r="54">
      <c r="B54" s="10" t="inlineStr">
        <is>
          <t>En préstamo</t>
        </is>
      </c>
      <c r="C54" s="16">
        <f>COUNTIF('Préstamos'!$H$10:$H$69,B54)</f>
        <v/>
      </c>
    </row>
    <row r="55">
      <c r="B55" s="10" t="inlineStr">
        <is>
          <t>Devuelto con retraso</t>
        </is>
      </c>
      <c r="C55" s="16">
        <f>COUNTIF('Préstamos'!$H$10:$H$69,B55)</f>
        <v/>
      </c>
    </row>
    <row r="56">
      <c r="B56" s="10" t="inlineStr">
        <is>
          <t>Devuelto</t>
        </is>
      </c>
      <c r="C56" s="16">
        <f>COUNTIF('Préstamos'!$H$10:$H$69,B56)</f>
        <v/>
      </c>
    </row>
    <row r="57">
      <c r="B57" s="18" t="inlineStr">
        <is>
          <t>Total</t>
        </is>
      </c>
      <c r="C57" s="19">
        <f>SUM(C52:C56)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0">
    <mergeCell ref="B3:G3"/>
    <mergeCell ref="B2:G2"/>
    <mergeCell ref="E6:F6"/>
    <mergeCell ref="C6:D6"/>
    <mergeCell ref="C5:D5"/>
    <mergeCell ref="E5:F5"/>
    <mergeCell ref="C9:D9"/>
    <mergeCell ref="E9:F9"/>
    <mergeCell ref="E8:F8"/>
    <mergeCell ref="C8:D8"/>
  </mergeCells>
  <conditionalFormatting sqref="B13:E17">
    <cfRule type="expression" priority="1" dxfId="0">
      <formula>MOD(ROW(),2)=0</formula>
    </cfRule>
  </conditionalFormatting>
  <conditionalFormatting sqref="D13:D17">
    <cfRule type="dataBar" priority="2">
      <dataBar>
        <cfvo type="num" val="0"/>
        <cfvo type="max"/>
        <color rgb="0034D399"/>
      </dataBar>
    </cfRule>
  </conditionalFormatting>
  <conditionalFormatting sqref="E13:E17">
    <cfRule type="cellIs" priority="3" operator="equal" dxfId="1">
      <formula>"Prestado"</formula>
    </cfRule>
    <cfRule type="cellIs" priority="4" operator="equal" dxfId="2">
      <formula>"Disponible"</formula>
    </cfRule>
  </conditionalFormatting>
  <conditionalFormatting sqref="B21:E28">
    <cfRule type="expression" priority="5" dxfId="3">
      <formula>B21&lt;&gt;""</formula>
    </cfRule>
  </conditionalFormatting>
  <conditionalFormatting sqref="B33:E37">
    <cfRule type="expression" priority="6" dxfId="0">
      <formula>MOD(ROW(),2)=0</formula>
    </cfRule>
  </conditionalFormatting>
  <conditionalFormatting sqref="C33:C37">
    <cfRule type="dataBar" priority="7">
      <dataBar>
        <cfvo type="num" val="0"/>
        <cfvo type="max"/>
        <color rgb="0034D399"/>
      </dataBar>
    </cfRule>
  </conditionalFormatting>
  <conditionalFormatting sqref="B41:E47">
    <cfRule type="expression" priority="8" dxfId="0">
      <formula>MOD(ROW(),2)=0</formula>
    </cfRule>
  </conditionalFormatting>
  <conditionalFormatting sqref="D41:D47">
    <cfRule type="dataBar" priority="9">
      <dataBar>
        <cfvo type="num" val="0"/>
        <cfvo type="max"/>
        <color rgb="0034D399"/>
      </dataBar>
    </cfRule>
  </conditionalFormatting>
  <conditionalFormatting sqref="B52:B56">
    <cfRule type="cellIs" priority="10" operator="equal" dxfId="3">
      <formula>"Retrasado"</formula>
    </cfRule>
    <cfRule type="cellIs" priority="11" operator="equal" dxfId="1">
      <formula>"Vence pronto"</formula>
    </cfRule>
    <cfRule type="cellIs" priority="12" operator="equal" dxfId="1">
      <formula>"Devuelto con retraso"</formula>
    </cfRule>
    <cfRule type="cellIs" priority="13" operator="equal" dxfId="2">
      <formula>"Devuelto"</formula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M47"/>
  <sheetViews>
    <sheetView showGridLines="0" tabSelected="1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1" customWidth="1" min="2" max="2"/>
    <col width="36" customWidth="1" min="3" max="3"/>
    <col width="24" customWidth="1" min="4" max="4"/>
    <col width="20" customWidth="1" min="5" max="5"/>
    <col width="11" customWidth="1" min="6" max="6"/>
    <col width="16" customWidth="1" min="7" max="7"/>
    <col width="14" customWidth="1" min="8" max="8"/>
    <col width="11" customWidth="1" min="9" max="9"/>
    <col width="14" customWidth="1" min="10" max="10"/>
    <col width="16" customWidth="1" min="11" max="11"/>
    <col width="14" customWidth="1" min="12" max="12"/>
    <col width="10" customWidth="1" min="13" max="13"/>
  </cols>
  <sheetData>
    <row r="2" ht="34" customHeight="1">
      <c r="B2" s="1" t="inlineStr">
        <is>
          <t>Catálogo de la biblioteca de aula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Un libro por fila, con su código, ubicación y estado. La disponibilidad y las veces prestado se calculan solas desde la hoja Préstamos.</t>
        </is>
      </c>
    </row>
    <row r="5" ht="40" customHeight="1">
      <c r="B5" s="9" t="inlineStr">
        <is>
          <t>Código</t>
        </is>
      </c>
      <c r="C5" s="9" t="inlineStr">
        <is>
          <t>Título</t>
        </is>
      </c>
      <c r="D5" s="9" t="inlineStr">
        <is>
          <t>Autor</t>
        </is>
      </c>
      <c r="E5" s="9" t="inlineStr">
        <is>
          <t>Género</t>
        </is>
      </c>
      <c r="F5" s="9" t="inlineStr">
        <is>
          <t>Nivel</t>
        </is>
      </c>
      <c r="G5" s="9" t="inlineStr">
        <is>
          <t>Ubicación</t>
        </is>
      </c>
      <c r="H5" s="9" t="inlineStr">
        <is>
          <t>Conservación</t>
        </is>
      </c>
      <c r="I5" s="9" t="inlineStr">
        <is>
          <t>Veces prestado</t>
        </is>
      </c>
      <c r="J5" s="9" t="inlineStr">
        <is>
          <t>Disponibilidad</t>
        </is>
      </c>
      <c r="K5" s="9" t="inlineStr">
        <is>
          <t>Prestado a</t>
        </is>
      </c>
      <c r="L5" s="9" t="inlineStr">
        <is>
          <t>Devolución prevista</t>
        </is>
      </c>
      <c r="M5" s="9" t="inlineStr">
        <is>
          <t>Aux. orden</t>
        </is>
      </c>
    </row>
    <row r="6">
      <c r="B6" s="20" t="inlineStr">
        <is>
          <t>LIB-001</t>
        </is>
      </c>
      <c r="C6" s="21" t="inlineStr">
        <is>
          <t>Matilda</t>
        </is>
      </c>
      <c r="D6" s="21" t="inlineStr">
        <is>
          <t>Roald Dahl</t>
        </is>
      </c>
      <c r="E6" s="21" t="inlineStr">
        <is>
          <t>Narrativa</t>
        </is>
      </c>
      <c r="F6" s="20" t="inlineStr">
        <is>
          <t>3º-4º</t>
        </is>
      </c>
      <c r="G6" s="21" t="inlineStr">
        <is>
          <t>Estantería A</t>
        </is>
      </c>
      <c r="H6" s="20" t="inlineStr">
        <is>
          <t>Bueno</t>
        </is>
      </c>
      <c r="I6" s="12">
        <f>IF(B6="","",COUNTIFS('Préstamos'!$B$10:$B$69,B6,'Préstamos'!$E$10:$E$69,"&lt;&gt;"))</f>
        <v/>
      </c>
      <c r="J6" s="22">
        <f>IF(B6="","",IF(COUNTIF('Préstamos'!$M$10:$M$69,B6)&gt;0,"Prestado","Disponible"))</f>
        <v/>
      </c>
      <c r="K6" s="11">
        <f>IF(B6="","",IFERROR(INDEX('Préstamos'!$D$10:$D$69,MATCH(B6,'Préstamos'!$M$10:$M$69,0)),""))</f>
        <v/>
      </c>
      <c r="L6" s="14">
        <f>IF(B6="","",IFERROR(INDEX('Préstamos'!$F$10:$F$69,MATCH(B6,'Préstamos'!$M$10:$M$69,0)),""))</f>
        <v/>
      </c>
      <c r="M6" s="23">
        <f>IF(B6="","",I6+(1000-ROW())/100000)</f>
        <v/>
      </c>
    </row>
    <row r="7">
      <c r="B7" s="20" t="inlineStr">
        <is>
          <t>LIB-002</t>
        </is>
      </c>
      <c r="C7" s="21" t="inlineStr">
        <is>
          <t>Charlie y la fábrica de chocolate</t>
        </is>
      </c>
      <c r="D7" s="21" t="inlineStr">
        <is>
          <t>Roald Dahl</t>
        </is>
      </c>
      <c r="E7" s="21" t="inlineStr">
        <is>
          <t>Narrativa</t>
        </is>
      </c>
      <c r="F7" s="20" t="inlineStr">
        <is>
          <t>3º-4º</t>
        </is>
      </c>
      <c r="G7" s="21" t="inlineStr">
        <is>
          <t>Estantería A</t>
        </is>
      </c>
      <c r="H7" s="20" t="inlineStr">
        <is>
          <t>Regular</t>
        </is>
      </c>
      <c r="I7" s="12">
        <f>IF(B7="","",COUNTIFS('Préstamos'!$B$10:$B$69,B7,'Préstamos'!$E$10:$E$69,"&lt;&gt;"))</f>
        <v/>
      </c>
      <c r="J7" s="22">
        <f>IF(B7="","",IF(COUNTIF('Préstamos'!$M$10:$M$69,B7)&gt;0,"Prestado","Disponible"))</f>
        <v/>
      </c>
      <c r="K7" s="11">
        <f>IF(B7="","",IFERROR(INDEX('Préstamos'!$D$10:$D$69,MATCH(B7,'Préstamos'!$M$10:$M$69,0)),""))</f>
        <v/>
      </c>
      <c r="L7" s="14">
        <f>IF(B7="","",IFERROR(INDEX('Préstamos'!$F$10:$F$69,MATCH(B7,'Préstamos'!$M$10:$M$69,0)),""))</f>
        <v/>
      </c>
      <c r="M7" s="23">
        <f>IF(B7="","",I7+(1000-ROW())/100000)</f>
        <v/>
      </c>
    </row>
    <row r="8">
      <c r="B8" s="20" t="inlineStr">
        <is>
          <t>LIB-003</t>
        </is>
      </c>
      <c r="C8" s="21" t="inlineStr">
        <is>
          <t>Manolito Gafotas</t>
        </is>
      </c>
      <c r="D8" s="21" t="inlineStr">
        <is>
          <t>Elvira Lindo</t>
        </is>
      </c>
      <c r="E8" s="21" t="inlineStr">
        <is>
          <t>Narrativa</t>
        </is>
      </c>
      <c r="F8" s="20" t="inlineStr">
        <is>
          <t>5º-6º</t>
        </is>
      </c>
      <c r="G8" s="21" t="inlineStr">
        <is>
          <t>Estantería A</t>
        </is>
      </c>
      <c r="H8" s="20" t="inlineStr">
        <is>
          <t>Bueno</t>
        </is>
      </c>
      <c r="I8" s="12">
        <f>IF(B8="","",COUNTIFS('Préstamos'!$B$10:$B$69,B8,'Préstamos'!$E$10:$E$69,"&lt;&gt;"))</f>
        <v/>
      </c>
      <c r="J8" s="22">
        <f>IF(B8="","",IF(COUNTIF('Préstamos'!$M$10:$M$69,B8)&gt;0,"Prestado","Disponible"))</f>
        <v/>
      </c>
      <c r="K8" s="11">
        <f>IF(B8="","",IFERROR(INDEX('Préstamos'!$D$10:$D$69,MATCH(B8,'Préstamos'!$M$10:$M$69,0)),""))</f>
        <v/>
      </c>
      <c r="L8" s="14">
        <f>IF(B8="","",IFERROR(INDEX('Préstamos'!$F$10:$F$69,MATCH(B8,'Préstamos'!$M$10:$M$69,0)),""))</f>
        <v/>
      </c>
      <c r="M8" s="23">
        <f>IF(B8="","",I8+(1000-ROW())/100000)</f>
        <v/>
      </c>
    </row>
    <row r="9">
      <c r="B9" s="20" t="inlineStr">
        <is>
          <t>LIB-004</t>
        </is>
      </c>
      <c r="C9" s="21" t="inlineStr">
        <is>
          <t>Tintín en el Tíbet</t>
        </is>
      </c>
      <c r="D9" s="21" t="inlineStr">
        <is>
          <t>Hergé</t>
        </is>
      </c>
      <c r="E9" s="21" t="inlineStr">
        <is>
          <t>Cómic y manga</t>
        </is>
      </c>
      <c r="F9" s="20" t="inlineStr">
        <is>
          <t>5º-6º</t>
        </is>
      </c>
      <c r="G9" s="21" t="inlineStr">
        <is>
          <t>Caja de cómics</t>
        </is>
      </c>
      <c r="H9" s="20" t="inlineStr">
        <is>
          <t>Regular</t>
        </is>
      </c>
      <c r="I9" s="12">
        <f>IF(B9="","",COUNTIFS('Préstamos'!$B$10:$B$69,B9,'Préstamos'!$E$10:$E$69,"&lt;&gt;"))</f>
        <v/>
      </c>
      <c r="J9" s="22">
        <f>IF(B9="","",IF(COUNTIF('Préstamos'!$M$10:$M$69,B9)&gt;0,"Prestado","Disponible"))</f>
        <v/>
      </c>
      <c r="K9" s="11">
        <f>IF(B9="","",IFERROR(INDEX('Préstamos'!$D$10:$D$69,MATCH(B9,'Préstamos'!$M$10:$M$69,0)),""))</f>
        <v/>
      </c>
      <c r="L9" s="14">
        <f>IF(B9="","",IFERROR(INDEX('Préstamos'!$F$10:$F$69,MATCH(B9,'Préstamos'!$M$10:$M$69,0)),""))</f>
        <v/>
      </c>
      <c r="M9" s="23">
        <f>IF(B9="","",I9+(1000-ROW())/100000)</f>
        <v/>
      </c>
    </row>
    <row r="10">
      <c r="B10" s="20" t="inlineStr">
        <is>
          <t>LIB-005</t>
        </is>
      </c>
      <c r="C10" s="21" t="inlineStr">
        <is>
          <t>Astérix el Galo</t>
        </is>
      </c>
      <c r="D10" s="21" t="inlineStr">
        <is>
          <t>Goscinny y Uderzo</t>
        </is>
      </c>
      <c r="E10" s="21" t="inlineStr">
        <is>
          <t>Cómic y manga</t>
        </is>
      </c>
      <c r="F10" s="20" t="inlineStr">
        <is>
          <t>3º-4º</t>
        </is>
      </c>
      <c r="G10" s="21" t="inlineStr">
        <is>
          <t>Caja de cómics</t>
        </is>
      </c>
      <c r="H10" s="20" t="inlineStr">
        <is>
          <t>Bueno</t>
        </is>
      </c>
      <c r="I10" s="12">
        <f>IF(B10="","",COUNTIFS('Préstamos'!$B$10:$B$69,B10,'Préstamos'!$E$10:$E$69,"&lt;&gt;"))</f>
        <v/>
      </c>
      <c r="J10" s="22">
        <f>IF(B10="","",IF(COUNTIF('Préstamos'!$M$10:$M$69,B10)&gt;0,"Prestado","Disponible"))</f>
        <v/>
      </c>
      <c r="K10" s="11">
        <f>IF(B10="","",IFERROR(INDEX('Préstamos'!$D$10:$D$69,MATCH(B10,'Préstamos'!$M$10:$M$69,0)),""))</f>
        <v/>
      </c>
      <c r="L10" s="14">
        <f>IF(B10="","",IFERROR(INDEX('Préstamos'!$F$10:$F$69,MATCH(B10,'Préstamos'!$M$10:$M$69,0)),""))</f>
        <v/>
      </c>
      <c r="M10" s="23">
        <f>IF(B10="","",I10+(1000-ROW())/100000)</f>
        <v/>
      </c>
    </row>
    <row r="11">
      <c r="B11" s="20" t="inlineStr">
        <is>
          <t>LIB-006</t>
        </is>
      </c>
      <c r="C11" s="21" t="inlineStr">
        <is>
          <t>La isla del tesoro</t>
        </is>
      </c>
      <c r="D11" s="21" t="inlineStr">
        <is>
          <t>R. L. Stevenson</t>
        </is>
      </c>
      <c r="E11" s="21" t="inlineStr">
        <is>
          <t>Aventuras</t>
        </is>
      </c>
      <c r="F11" s="20" t="inlineStr">
        <is>
          <t>5º-6º</t>
        </is>
      </c>
      <c r="G11" s="21" t="inlineStr">
        <is>
          <t>Estantería B</t>
        </is>
      </c>
      <c r="H11" s="20" t="inlineStr">
        <is>
          <t>Bueno</t>
        </is>
      </c>
      <c r="I11" s="12">
        <f>IF(B11="","",COUNTIFS('Préstamos'!$B$10:$B$69,B11,'Préstamos'!$E$10:$E$69,"&lt;&gt;"))</f>
        <v/>
      </c>
      <c r="J11" s="22">
        <f>IF(B11="","",IF(COUNTIF('Préstamos'!$M$10:$M$69,B11)&gt;0,"Prestado","Disponible"))</f>
        <v/>
      </c>
      <c r="K11" s="11">
        <f>IF(B11="","",IFERROR(INDEX('Préstamos'!$D$10:$D$69,MATCH(B11,'Préstamos'!$M$10:$M$69,0)),""))</f>
        <v/>
      </c>
      <c r="L11" s="14">
        <f>IF(B11="","",IFERROR(INDEX('Préstamos'!$F$10:$F$69,MATCH(B11,'Préstamos'!$M$10:$M$69,0)),""))</f>
        <v/>
      </c>
      <c r="M11" s="23">
        <f>IF(B11="","",I11+(1000-ROW())/100000)</f>
        <v/>
      </c>
    </row>
    <row r="12">
      <c r="B12" s="20" t="inlineStr">
        <is>
          <t>LIB-007</t>
        </is>
      </c>
      <c r="C12" s="21" t="inlineStr">
        <is>
          <t>Los Cinco y el tesoro de la isla</t>
        </is>
      </c>
      <c r="D12" s="21" t="inlineStr">
        <is>
          <t>Enid Blyton</t>
        </is>
      </c>
      <c r="E12" s="21" t="inlineStr">
        <is>
          <t>Aventuras</t>
        </is>
      </c>
      <c r="F12" s="20" t="inlineStr">
        <is>
          <t>3º-4º</t>
        </is>
      </c>
      <c r="G12" s="21" t="inlineStr">
        <is>
          <t>Estantería B</t>
        </is>
      </c>
      <c r="H12" s="20" t="inlineStr">
        <is>
          <t>Bueno</t>
        </is>
      </c>
      <c r="I12" s="12">
        <f>IF(B12="","",COUNTIFS('Préstamos'!$B$10:$B$69,B12,'Préstamos'!$E$10:$E$69,"&lt;&gt;"))</f>
        <v/>
      </c>
      <c r="J12" s="22">
        <f>IF(B12="","",IF(COUNTIF('Préstamos'!$M$10:$M$69,B12)&gt;0,"Prestado","Disponible"))</f>
        <v/>
      </c>
      <c r="K12" s="11">
        <f>IF(B12="","",IFERROR(INDEX('Préstamos'!$D$10:$D$69,MATCH(B12,'Préstamos'!$M$10:$M$69,0)),""))</f>
        <v/>
      </c>
      <c r="L12" s="14">
        <f>IF(B12="","",IFERROR(INDEX('Préstamos'!$F$10:$F$69,MATCH(B12,'Préstamos'!$M$10:$M$69,0)),""))</f>
        <v/>
      </c>
      <c r="M12" s="23">
        <f>IF(B12="","",I12+(1000-ROW())/100000)</f>
        <v/>
      </c>
    </row>
    <row r="13">
      <c r="B13" s="20" t="inlineStr">
        <is>
          <t>LIB-008</t>
        </is>
      </c>
      <c r="C13" s="21" t="inlineStr">
        <is>
          <t>Aventuras de Sherlock Holmes (adaptado)</t>
        </is>
      </c>
      <c r="D13" s="21" t="inlineStr">
        <is>
          <t>Arthur Conan Doyle</t>
        </is>
      </c>
      <c r="E13" s="21" t="inlineStr">
        <is>
          <t>Misterio</t>
        </is>
      </c>
      <c r="F13" s="20" t="inlineStr">
        <is>
          <t>5º-6º</t>
        </is>
      </c>
      <c r="G13" s="21" t="inlineStr">
        <is>
          <t>Estantería B</t>
        </is>
      </c>
      <c r="H13" s="20" t="inlineStr">
        <is>
          <t>Nuevo</t>
        </is>
      </c>
      <c r="I13" s="12">
        <f>IF(B13="","",COUNTIFS('Préstamos'!$B$10:$B$69,B13,'Préstamos'!$E$10:$E$69,"&lt;&gt;"))</f>
        <v/>
      </c>
      <c r="J13" s="22">
        <f>IF(B13="","",IF(COUNTIF('Préstamos'!$M$10:$M$69,B13)&gt;0,"Prestado","Disponible"))</f>
        <v/>
      </c>
      <c r="K13" s="11">
        <f>IF(B13="","",IFERROR(INDEX('Préstamos'!$D$10:$D$69,MATCH(B13,'Préstamos'!$M$10:$M$69,0)),""))</f>
        <v/>
      </c>
      <c r="L13" s="14">
        <f>IF(B13="","",IFERROR(INDEX('Préstamos'!$F$10:$F$69,MATCH(B13,'Préstamos'!$M$10:$M$69,0)),""))</f>
        <v/>
      </c>
      <c r="M13" s="23">
        <f>IF(B13="","",I13+(1000-ROW())/100000)</f>
        <v/>
      </c>
    </row>
    <row r="14">
      <c r="B14" s="20" t="inlineStr">
        <is>
          <t>LIB-009</t>
        </is>
      </c>
      <c r="C14" s="21" t="inlineStr">
        <is>
          <t>El gran libro de los animales</t>
        </is>
      </c>
      <c r="D14" s="21" t="inlineStr">
        <is>
          <t>Varios autores</t>
        </is>
      </c>
      <c r="E14" s="21" t="inlineStr">
        <is>
          <t>Ciencia y naturaleza</t>
        </is>
      </c>
      <c r="F14" s="20" t="inlineStr">
        <is>
          <t>1º-2º</t>
        </is>
      </c>
      <c r="G14" s="21" t="inlineStr">
        <is>
          <t>Estantería C</t>
        </is>
      </c>
      <c r="H14" s="20" t="inlineStr">
        <is>
          <t>Bueno</t>
        </is>
      </c>
      <c r="I14" s="12">
        <f>IF(B14="","",COUNTIFS('Préstamos'!$B$10:$B$69,B14,'Préstamos'!$E$10:$E$69,"&lt;&gt;"))</f>
        <v/>
      </c>
      <c r="J14" s="22">
        <f>IF(B14="","",IF(COUNTIF('Préstamos'!$M$10:$M$69,B14)&gt;0,"Prestado","Disponible"))</f>
        <v/>
      </c>
      <c r="K14" s="11">
        <f>IF(B14="","",IFERROR(INDEX('Préstamos'!$D$10:$D$69,MATCH(B14,'Préstamos'!$M$10:$M$69,0)),""))</f>
        <v/>
      </c>
      <c r="L14" s="14">
        <f>IF(B14="","",IFERROR(INDEX('Préstamos'!$F$10:$F$69,MATCH(B14,'Préstamos'!$M$10:$M$69,0)),""))</f>
        <v/>
      </c>
      <c r="M14" s="23">
        <f>IF(B14="","",I14+(1000-ROW())/100000)</f>
        <v/>
      </c>
    </row>
    <row r="15">
      <c r="B15" s="20" t="inlineStr">
        <is>
          <t>LIB-010</t>
        </is>
      </c>
      <c r="C15" s="21" t="inlineStr">
        <is>
          <t>Atlas del cuerpo humano</t>
        </is>
      </c>
      <c r="D15" s="21" t="inlineStr">
        <is>
          <t>Varios autores</t>
        </is>
      </c>
      <c r="E15" s="21" t="inlineStr">
        <is>
          <t>Ciencia y naturaleza</t>
        </is>
      </c>
      <c r="F15" s="20" t="inlineStr">
        <is>
          <t>5º-6º</t>
        </is>
      </c>
      <c r="G15" s="21" t="inlineStr">
        <is>
          <t>Estantería C</t>
        </is>
      </c>
      <c r="H15" s="20" t="inlineStr">
        <is>
          <t>Nuevo</t>
        </is>
      </c>
      <c r="I15" s="12">
        <f>IF(B15="","",COUNTIFS('Préstamos'!$B$10:$B$69,B15,'Préstamos'!$E$10:$E$69,"&lt;&gt;"))</f>
        <v/>
      </c>
      <c r="J15" s="22">
        <f>IF(B15="","",IF(COUNTIF('Préstamos'!$M$10:$M$69,B15)&gt;0,"Prestado","Disponible"))</f>
        <v/>
      </c>
      <c r="K15" s="11">
        <f>IF(B15="","",IFERROR(INDEX('Préstamos'!$D$10:$D$69,MATCH(B15,'Préstamos'!$M$10:$M$69,0)),""))</f>
        <v/>
      </c>
      <c r="L15" s="14">
        <f>IF(B15="","",IFERROR(INDEX('Préstamos'!$F$10:$F$69,MATCH(B15,'Préstamos'!$M$10:$M$69,0)),""))</f>
        <v/>
      </c>
      <c r="M15" s="23">
        <f>IF(B15="","",I15+(1000-ROW())/100000)</f>
        <v/>
      </c>
    </row>
    <row r="16">
      <c r="B16" s="20" t="inlineStr">
        <is>
          <t>LIB-011</t>
        </is>
      </c>
      <c r="C16" s="21" t="inlineStr">
        <is>
          <t>Poemas para jugar</t>
        </is>
      </c>
      <c r="D16" s="21" t="inlineStr">
        <is>
          <t>Varios autores</t>
        </is>
      </c>
      <c r="E16" s="21" t="inlineStr">
        <is>
          <t>Poesía y teatro</t>
        </is>
      </c>
      <c r="F16" s="20" t="inlineStr">
        <is>
          <t>1º-2º</t>
        </is>
      </c>
      <c r="G16" s="21" t="inlineStr">
        <is>
          <t>Estantería C</t>
        </is>
      </c>
      <c r="H16" s="20" t="inlineStr">
        <is>
          <t>Bueno</t>
        </is>
      </c>
      <c r="I16" s="12">
        <f>IF(B16="","",COUNTIFS('Préstamos'!$B$10:$B$69,B16,'Préstamos'!$E$10:$E$69,"&lt;&gt;"))</f>
        <v/>
      </c>
      <c r="J16" s="22">
        <f>IF(B16="","",IF(COUNTIF('Préstamos'!$M$10:$M$69,B16)&gt;0,"Prestado","Disponible"))</f>
        <v/>
      </c>
      <c r="K16" s="11">
        <f>IF(B16="","",IFERROR(INDEX('Préstamos'!$D$10:$D$69,MATCH(B16,'Préstamos'!$M$10:$M$69,0)),""))</f>
        <v/>
      </c>
      <c r="L16" s="14">
        <f>IF(B16="","",IFERROR(INDEX('Préstamos'!$F$10:$F$69,MATCH(B16,'Préstamos'!$M$10:$M$69,0)),""))</f>
        <v/>
      </c>
      <c r="M16" s="23">
        <f>IF(B16="","",I16+(1000-ROW())/100000)</f>
        <v/>
      </c>
    </row>
    <row r="17">
      <c r="B17" s="20" t="inlineStr">
        <is>
          <t>LIB-012</t>
        </is>
      </c>
      <c r="C17" s="21" t="inlineStr">
        <is>
          <t>Vidas de científicas</t>
        </is>
      </c>
      <c r="D17" s="21" t="inlineStr">
        <is>
          <t>Varios autores</t>
        </is>
      </c>
      <c r="E17" s="21" t="inlineStr">
        <is>
          <t>Biografías</t>
        </is>
      </c>
      <c r="F17" s="20" t="inlineStr">
        <is>
          <t>5º-6º</t>
        </is>
      </c>
      <c r="G17" s="21" t="inlineStr">
        <is>
          <t>Estantería C</t>
        </is>
      </c>
      <c r="H17" s="20" t="inlineStr">
        <is>
          <t>Nuevo</t>
        </is>
      </c>
      <c r="I17" s="12">
        <f>IF(B17="","",COUNTIFS('Préstamos'!$B$10:$B$69,B17,'Préstamos'!$E$10:$E$69,"&lt;&gt;"))</f>
        <v/>
      </c>
      <c r="J17" s="22">
        <f>IF(B17="","",IF(COUNTIF('Préstamos'!$M$10:$M$69,B17)&gt;0,"Prestado","Disponible"))</f>
        <v/>
      </c>
      <c r="K17" s="11">
        <f>IF(B17="","",IFERROR(INDEX('Préstamos'!$D$10:$D$69,MATCH(B17,'Préstamos'!$M$10:$M$69,0)),""))</f>
        <v/>
      </c>
      <c r="L17" s="14">
        <f>IF(B17="","",IFERROR(INDEX('Préstamos'!$F$10:$F$69,MATCH(B17,'Préstamos'!$M$10:$M$69,0)),""))</f>
        <v/>
      </c>
      <c r="M17" s="23">
        <f>IF(B17="","",I17+(1000-ROW())/100000)</f>
        <v/>
      </c>
    </row>
    <row r="18">
      <c r="B18" s="20" t="inlineStr">
        <is>
          <t>LIB-013</t>
        </is>
      </c>
      <c r="C18" s="21" t="inlineStr">
        <is>
          <t>El principito</t>
        </is>
      </c>
      <c r="D18" s="21" t="inlineStr">
        <is>
          <t>Antoine de Saint-Exupéry</t>
        </is>
      </c>
      <c r="E18" s="21" t="inlineStr">
        <is>
          <t>Narrativa</t>
        </is>
      </c>
      <c r="F18" s="20" t="inlineStr">
        <is>
          <t>3º-4º</t>
        </is>
      </c>
      <c r="G18" s="21" t="inlineStr">
        <is>
          <t>Estantería A</t>
        </is>
      </c>
      <c r="H18" s="20" t="inlineStr">
        <is>
          <t>Deteriorado</t>
        </is>
      </c>
      <c r="I18" s="12">
        <f>IF(B18="","",COUNTIFS('Préstamos'!$B$10:$B$69,B18,'Préstamos'!$E$10:$E$69,"&lt;&gt;"))</f>
        <v/>
      </c>
      <c r="J18" s="22">
        <f>IF(B18="","",IF(COUNTIF('Préstamos'!$M$10:$M$69,B18)&gt;0,"Prestado","Disponible"))</f>
        <v/>
      </c>
      <c r="K18" s="11">
        <f>IF(B18="","",IFERROR(INDEX('Préstamos'!$D$10:$D$69,MATCH(B18,'Préstamos'!$M$10:$M$69,0)),""))</f>
        <v/>
      </c>
      <c r="L18" s="14">
        <f>IF(B18="","",IFERROR(INDEX('Préstamos'!$F$10:$F$69,MATCH(B18,'Préstamos'!$M$10:$M$69,0)),""))</f>
        <v/>
      </c>
      <c r="M18" s="23">
        <f>IF(B18="","",I18+(1000-ROW())/100000)</f>
        <v/>
      </c>
    </row>
    <row r="19">
      <c r="B19" s="20" t="inlineStr">
        <is>
          <t>LIB-014</t>
        </is>
      </c>
      <c r="C19" s="21" t="inlineStr">
        <is>
          <t>La historia interminable</t>
        </is>
      </c>
      <c r="D19" s="21" t="inlineStr">
        <is>
          <t>Michael Ende</t>
        </is>
      </c>
      <c r="E19" s="21" t="inlineStr">
        <is>
          <t>Aventuras</t>
        </is>
      </c>
      <c r="F19" s="20" t="inlineStr">
        <is>
          <t>5º-6º</t>
        </is>
      </c>
      <c r="G19" s="21" t="inlineStr">
        <is>
          <t>Estantería B</t>
        </is>
      </c>
      <c r="H19" s="20" t="inlineStr">
        <is>
          <t>Bueno</t>
        </is>
      </c>
      <c r="I19" s="12">
        <f>IF(B19="","",COUNTIFS('Préstamos'!$B$10:$B$69,B19,'Préstamos'!$E$10:$E$69,"&lt;&gt;"))</f>
        <v/>
      </c>
      <c r="J19" s="22">
        <f>IF(B19="","",IF(COUNTIF('Préstamos'!$M$10:$M$69,B19)&gt;0,"Prestado","Disponible"))</f>
        <v/>
      </c>
      <c r="K19" s="11">
        <f>IF(B19="","",IFERROR(INDEX('Préstamos'!$D$10:$D$69,MATCH(B19,'Préstamos'!$M$10:$M$69,0)),""))</f>
        <v/>
      </c>
      <c r="L19" s="14">
        <f>IF(B19="","",IFERROR(INDEX('Préstamos'!$F$10:$F$69,MATCH(B19,'Préstamos'!$M$10:$M$69,0)),""))</f>
        <v/>
      </c>
      <c r="M19" s="23">
        <f>IF(B19="","",I19+(1000-ROW())/100000)</f>
        <v/>
      </c>
    </row>
    <row r="20">
      <c r="B20" s="20" t="inlineStr">
        <is>
          <t>LIB-015</t>
        </is>
      </c>
      <c r="C20" s="21" t="inlineStr">
        <is>
          <t>Pippi Calzaslargas</t>
        </is>
      </c>
      <c r="D20" s="21" t="inlineStr">
        <is>
          <t>Astrid Lindgren</t>
        </is>
      </c>
      <c r="E20" s="21" t="inlineStr">
        <is>
          <t>Narrativa</t>
        </is>
      </c>
      <c r="F20" s="20" t="inlineStr">
        <is>
          <t>1º-2º</t>
        </is>
      </c>
      <c r="G20" s="21" t="inlineStr">
        <is>
          <t>Estantería A</t>
        </is>
      </c>
      <c r="H20" s="20" t="inlineStr">
        <is>
          <t>Bueno</t>
        </is>
      </c>
      <c r="I20" s="12">
        <f>IF(B20="","",COUNTIFS('Préstamos'!$B$10:$B$69,B20,'Préstamos'!$E$10:$E$69,"&lt;&gt;"))</f>
        <v/>
      </c>
      <c r="J20" s="22">
        <f>IF(B20="","",IF(COUNTIF('Préstamos'!$M$10:$M$69,B20)&gt;0,"Prestado","Disponible"))</f>
        <v/>
      </c>
      <c r="K20" s="11">
        <f>IF(B20="","",IFERROR(INDEX('Préstamos'!$D$10:$D$69,MATCH(B20,'Préstamos'!$M$10:$M$69,0)),""))</f>
        <v/>
      </c>
      <c r="L20" s="14">
        <f>IF(B20="","",IFERROR(INDEX('Préstamos'!$F$10:$F$69,MATCH(B20,'Préstamos'!$M$10:$M$69,0)),""))</f>
        <v/>
      </c>
      <c r="M20" s="23">
        <f>IF(B20="","",I20+(1000-ROW())/100000)</f>
        <v/>
      </c>
    </row>
    <row r="21">
      <c r="B21" s="20" t="n"/>
      <c r="C21" s="21" t="n"/>
      <c r="D21" s="21" t="n"/>
      <c r="E21" s="21" t="n"/>
      <c r="F21" s="20" t="n"/>
      <c r="G21" s="21" t="n"/>
      <c r="H21" s="20" t="n"/>
      <c r="I21" s="12">
        <f>IF(B21="","",COUNTIFS('Préstamos'!$B$10:$B$69,B21,'Préstamos'!$E$10:$E$69,"&lt;&gt;"))</f>
        <v/>
      </c>
      <c r="J21" s="22">
        <f>IF(B21="","",IF(COUNTIF('Préstamos'!$M$10:$M$69,B21)&gt;0,"Prestado","Disponible"))</f>
        <v/>
      </c>
      <c r="K21" s="11">
        <f>IF(B21="","",IFERROR(INDEX('Préstamos'!$D$10:$D$69,MATCH(B21,'Préstamos'!$M$10:$M$69,0)),""))</f>
        <v/>
      </c>
      <c r="L21" s="14">
        <f>IF(B21="","",IFERROR(INDEX('Préstamos'!$F$10:$F$69,MATCH(B21,'Préstamos'!$M$10:$M$69,0)),""))</f>
        <v/>
      </c>
      <c r="M21" s="23">
        <f>IF(B21="","",I21+(1000-ROW())/100000)</f>
        <v/>
      </c>
    </row>
    <row r="22">
      <c r="B22" s="20" t="n"/>
      <c r="C22" s="21" t="n"/>
      <c r="D22" s="21" t="n"/>
      <c r="E22" s="21" t="n"/>
      <c r="F22" s="20" t="n"/>
      <c r="G22" s="21" t="n"/>
      <c r="H22" s="20" t="n"/>
      <c r="I22" s="12">
        <f>IF(B22="","",COUNTIFS('Préstamos'!$B$10:$B$69,B22,'Préstamos'!$E$10:$E$69,"&lt;&gt;"))</f>
        <v/>
      </c>
      <c r="J22" s="22">
        <f>IF(B22="","",IF(COUNTIF('Préstamos'!$M$10:$M$69,B22)&gt;0,"Prestado","Disponible"))</f>
        <v/>
      </c>
      <c r="K22" s="11">
        <f>IF(B22="","",IFERROR(INDEX('Préstamos'!$D$10:$D$69,MATCH(B22,'Préstamos'!$M$10:$M$69,0)),""))</f>
        <v/>
      </c>
      <c r="L22" s="14">
        <f>IF(B22="","",IFERROR(INDEX('Préstamos'!$F$10:$F$69,MATCH(B22,'Préstamos'!$M$10:$M$69,0)),""))</f>
        <v/>
      </c>
      <c r="M22" s="23">
        <f>IF(B22="","",I22+(1000-ROW())/100000)</f>
        <v/>
      </c>
    </row>
    <row r="23">
      <c r="B23" s="20" t="n"/>
      <c r="C23" s="21" t="n"/>
      <c r="D23" s="21" t="n"/>
      <c r="E23" s="21" t="n"/>
      <c r="F23" s="20" t="n"/>
      <c r="G23" s="21" t="n"/>
      <c r="H23" s="20" t="n"/>
      <c r="I23" s="12">
        <f>IF(B23="","",COUNTIFS('Préstamos'!$B$10:$B$69,B23,'Préstamos'!$E$10:$E$69,"&lt;&gt;"))</f>
        <v/>
      </c>
      <c r="J23" s="22">
        <f>IF(B23="","",IF(COUNTIF('Préstamos'!$M$10:$M$69,B23)&gt;0,"Prestado","Disponible"))</f>
        <v/>
      </c>
      <c r="K23" s="11">
        <f>IF(B23="","",IFERROR(INDEX('Préstamos'!$D$10:$D$69,MATCH(B23,'Préstamos'!$M$10:$M$69,0)),""))</f>
        <v/>
      </c>
      <c r="L23" s="14">
        <f>IF(B23="","",IFERROR(INDEX('Préstamos'!$F$10:$F$69,MATCH(B23,'Préstamos'!$M$10:$M$69,0)),""))</f>
        <v/>
      </c>
      <c r="M23" s="23">
        <f>IF(B23="","",I23+(1000-ROW())/100000)</f>
        <v/>
      </c>
    </row>
    <row r="24">
      <c r="B24" s="20" t="n"/>
      <c r="C24" s="21" t="n"/>
      <c r="D24" s="21" t="n"/>
      <c r="E24" s="21" t="n"/>
      <c r="F24" s="20" t="n"/>
      <c r="G24" s="21" t="n"/>
      <c r="H24" s="20" t="n"/>
      <c r="I24" s="12">
        <f>IF(B24="","",COUNTIFS('Préstamos'!$B$10:$B$69,B24,'Préstamos'!$E$10:$E$69,"&lt;&gt;"))</f>
        <v/>
      </c>
      <c r="J24" s="22">
        <f>IF(B24="","",IF(COUNTIF('Préstamos'!$M$10:$M$69,B24)&gt;0,"Prestado","Disponible"))</f>
        <v/>
      </c>
      <c r="K24" s="11">
        <f>IF(B24="","",IFERROR(INDEX('Préstamos'!$D$10:$D$69,MATCH(B24,'Préstamos'!$M$10:$M$69,0)),""))</f>
        <v/>
      </c>
      <c r="L24" s="14">
        <f>IF(B24="","",IFERROR(INDEX('Préstamos'!$F$10:$F$69,MATCH(B24,'Préstamos'!$M$10:$M$69,0)),""))</f>
        <v/>
      </c>
      <c r="M24" s="23">
        <f>IF(B24="","",I24+(1000-ROW())/100000)</f>
        <v/>
      </c>
    </row>
    <row r="25">
      <c r="B25" s="20" t="n"/>
      <c r="C25" s="21" t="n"/>
      <c r="D25" s="21" t="n"/>
      <c r="E25" s="21" t="n"/>
      <c r="F25" s="20" t="n"/>
      <c r="G25" s="21" t="n"/>
      <c r="H25" s="20" t="n"/>
      <c r="I25" s="12">
        <f>IF(B25="","",COUNTIFS('Préstamos'!$B$10:$B$69,B25,'Préstamos'!$E$10:$E$69,"&lt;&gt;"))</f>
        <v/>
      </c>
      <c r="J25" s="22">
        <f>IF(B25="","",IF(COUNTIF('Préstamos'!$M$10:$M$69,B25)&gt;0,"Prestado","Disponible"))</f>
        <v/>
      </c>
      <c r="K25" s="11">
        <f>IF(B25="","",IFERROR(INDEX('Préstamos'!$D$10:$D$69,MATCH(B25,'Préstamos'!$M$10:$M$69,0)),""))</f>
        <v/>
      </c>
      <c r="L25" s="14">
        <f>IF(B25="","",IFERROR(INDEX('Préstamos'!$F$10:$F$69,MATCH(B25,'Préstamos'!$M$10:$M$69,0)),""))</f>
        <v/>
      </c>
      <c r="M25" s="23">
        <f>IF(B25="","",I25+(1000-ROW())/100000)</f>
        <v/>
      </c>
    </row>
    <row r="26">
      <c r="B26" s="20" t="n"/>
      <c r="C26" s="21" t="n"/>
      <c r="D26" s="21" t="n"/>
      <c r="E26" s="21" t="n"/>
      <c r="F26" s="20" t="n"/>
      <c r="G26" s="21" t="n"/>
      <c r="H26" s="20" t="n"/>
      <c r="I26" s="12">
        <f>IF(B26="","",COUNTIFS('Préstamos'!$B$10:$B$69,B26,'Préstamos'!$E$10:$E$69,"&lt;&gt;"))</f>
        <v/>
      </c>
      <c r="J26" s="22">
        <f>IF(B26="","",IF(COUNTIF('Préstamos'!$M$10:$M$69,B26)&gt;0,"Prestado","Disponible"))</f>
        <v/>
      </c>
      <c r="K26" s="11">
        <f>IF(B26="","",IFERROR(INDEX('Préstamos'!$D$10:$D$69,MATCH(B26,'Préstamos'!$M$10:$M$69,0)),""))</f>
        <v/>
      </c>
      <c r="L26" s="14">
        <f>IF(B26="","",IFERROR(INDEX('Préstamos'!$F$10:$F$69,MATCH(B26,'Préstamos'!$M$10:$M$69,0)),""))</f>
        <v/>
      </c>
      <c r="M26" s="23">
        <f>IF(B26="","",I26+(1000-ROW())/100000)</f>
        <v/>
      </c>
    </row>
    <row r="27">
      <c r="B27" s="20" t="n"/>
      <c r="C27" s="21" t="n"/>
      <c r="D27" s="21" t="n"/>
      <c r="E27" s="21" t="n"/>
      <c r="F27" s="20" t="n"/>
      <c r="G27" s="21" t="n"/>
      <c r="H27" s="20" t="n"/>
      <c r="I27" s="12">
        <f>IF(B27="","",COUNTIFS('Préstamos'!$B$10:$B$69,B27,'Préstamos'!$E$10:$E$69,"&lt;&gt;"))</f>
        <v/>
      </c>
      <c r="J27" s="22">
        <f>IF(B27="","",IF(COUNTIF('Préstamos'!$M$10:$M$69,B27)&gt;0,"Prestado","Disponible"))</f>
        <v/>
      </c>
      <c r="K27" s="11">
        <f>IF(B27="","",IFERROR(INDEX('Préstamos'!$D$10:$D$69,MATCH(B27,'Préstamos'!$M$10:$M$69,0)),""))</f>
        <v/>
      </c>
      <c r="L27" s="14">
        <f>IF(B27="","",IFERROR(INDEX('Préstamos'!$F$10:$F$69,MATCH(B27,'Préstamos'!$M$10:$M$69,0)),""))</f>
        <v/>
      </c>
      <c r="M27" s="23">
        <f>IF(B27="","",I27+(1000-ROW())/100000)</f>
        <v/>
      </c>
    </row>
    <row r="28">
      <c r="B28" s="20" t="n"/>
      <c r="C28" s="21" t="n"/>
      <c r="D28" s="21" t="n"/>
      <c r="E28" s="21" t="n"/>
      <c r="F28" s="20" t="n"/>
      <c r="G28" s="21" t="n"/>
      <c r="H28" s="20" t="n"/>
      <c r="I28" s="12">
        <f>IF(B28="","",COUNTIFS('Préstamos'!$B$10:$B$69,B28,'Préstamos'!$E$10:$E$69,"&lt;&gt;"))</f>
        <v/>
      </c>
      <c r="J28" s="22">
        <f>IF(B28="","",IF(COUNTIF('Préstamos'!$M$10:$M$69,B28)&gt;0,"Prestado","Disponible"))</f>
        <v/>
      </c>
      <c r="K28" s="11">
        <f>IF(B28="","",IFERROR(INDEX('Préstamos'!$D$10:$D$69,MATCH(B28,'Préstamos'!$M$10:$M$69,0)),""))</f>
        <v/>
      </c>
      <c r="L28" s="14">
        <f>IF(B28="","",IFERROR(INDEX('Préstamos'!$F$10:$F$69,MATCH(B28,'Préstamos'!$M$10:$M$69,0)),""))</f>
        <v/>
      </c>
      <c r="M28" s="23">
        <f>IF(B28="","",I28+(1000-ROW())/100000)</f>
        <v/>
      </c>
    </row>
    <row r="29">
      <c r="B29" s="20" t="n"/>
      <c r="C29" s="21" t="n"/>
      <c r="D29" s="21" t="n"/>
      <c r="E29" s="21" t="n"/>
      <c r="F29" s="20" t="n"/>
      <c r="G29" s="21" t="n"/>
      <c r="H29" s="20" t="n"/>
      <c r="I29" s="12">
        <f>IF(B29="","",COUNTIFS('Préstamos'!$B$10:$B$69,B29,'Préstamos'!$E$10:$E$69,"&lt;&gt;"))</f>
        <v/>
      </c>
      <c r="J29" s="22">
        <f>IF(B29="","",IF(COUNTIF('Préstamos'!$M$10:$M$69,B29)&gt;0,"Prestado","Disponible"))</f>
        <v/>
      </c>
      <c r="K29" s="11">
        <f>IF(B29="","",IFERROR(INDEX('Préstamos'!$D$10:$D$69,MATCH(B29,'Préstamos'!$M$10:$M$69,0)),""))</f>
        <v/>
      </c>
      <c r="L29" s="14">
        <f>IF(B29="","",IFERROR(INDEX('Préstamos'!$F$10:$F$69,MATCH(B29,'Préstamos'!$M$10:$M$69,0)),""))</f>
        <v/>
      </c>
      <c r="M29" s="23">
        <f>IF(B29="","",I29+(1000-ROW())/100000)</f>
        <v/>
      </c>
    </row>
    <row r="30">
      <c r="B30" s="20" t="n"/>
      <c r="C30" s="21" t="n"/>
      <c r="D30" s="21" t="n"/>
      <c r="E30" s="21" t="n"/>
      <c r="F30" s="20" t="n"/>
      <c r="G30" s="21" t="n"/>
      <c r="H30" s="20" t="n"/>
      <c r="I30" s="12">
        <f>IF(B30="","",COUNTIFS('Préstamos'!$B$10:$B$69,B30,'Préstamos'!$E$10:$E$69,"&lt;&gt;"))</f>
        <v/>
      </c>
      <c r="J30" s="22">
        <f>IF(B30="","",IF(COUNTIF('Préstamos'!$M$10:$M$69,B30)&gt;0,"Prestado","Disponible"))</f>
        <v/>
      </c>
      <c r="K30" s="11">
        <f>IF(B30="","",IFERROR(INDEX('Préstamos'!$D$10:$D$69,MATCH(B30,'Préstamos'!$M$10:$M$69,0)),""))</f>
        <v/>
      </c>
      <c r="L30" s="14">
        <f>IF(B30="","",IFERROR(INDEX('Préstamos'!$F$10:$F$69,MATCH(B30,'Préstamos'!$M$10:$M$69,0)),""))</f>
        <v/>
      </c>
      <c r="M30" s="23">
        <f>IF(B30="","",I30+(1000-ROW())/100000)</f>
        <v/>
      </c>
    </row>
    <row r="31">
      <c r="B31" s="20" t="n"/>
      <c r="C31" s="21" t="n"/>
      <c r="D31" s="21" t="n"/>
      <c r="E31" s="21" t="n"/>
      <c r="F31" s="20" t="n"/>
      <c r="G31" s="21" t="n"/>
      <c r="H31" s="20" t="n"/>
      <c r="I31" s="12">
        <f>IF(B31="","",COUNTIFS('Préstamos'!$B$10:$B$69,B31,'Préstamos'!$E$10:$E$69,"&lt;&gt;"))</f>
        <v/>
      </c>
      <c r="J31" s="22">
        <f>IF(B31="","",IF(COUNTIF('Préstamos'!$M$10:$M$69,B31)&gt;0,"Prestado","Disponible"))</f>
        <v/>
      </c>
      <c r="K31" s="11">
        <f>IF(B31="","",IFERROR(INDEX('Préstamos'!$D$10:$D$69,MATCH(B31,'Préstamos'!$M$10:$M$69,0)),""))</f>
        <v/>
      </c>
      <c r="L31" s="14">
        <f>IF(B31="","",IFERROR(INDEX('Préstamos'!$F$10:$F$69,MATCH(B31,'Préstamos'!$M$10:$M$69,0)),""))</f>
        <v/>
      </c>
      <c r="M31" s="23">
        <f>IF(B31="","",I31+(1000-ROW())/100000)</f>
        <v/>
      </c>
    </row>
    <row r="32">
      <c r="B32" s="20" t="n"/>
      <c r="C32" s="21" t="n"/>
      <c r="D32" s="21" t="n"/>
      <c r="E32" s="21" t="n"/>
      <c r="F32" s="20" t="n"/>
      <c r="G32" s="21" t="n"/>
      <c r="H32" s="20" t="n"/>
      <c r="I32" s="12">
        <f>IF(B32="","",COUNTIFS('Préstamos'!$B$10:$B$69,B32,'Préstamos'!$E$10:$E$69,"&lt;&gt;"))</f>
        <v/>
      </c>
      <c r="J32" s="22">
        <f>IF(B32="","",IF(COUNTIF('Préstamos'!$M$10:$M$69,B32)&gt;0,"Prestado","Disponible"))</f>
        <v/>
      </c>
      <c r="K32" s="11">
        <f>IF(B32="","",IFERROR(INDEX('Préstamos'!$D$10:$D$69,MATCH(B32,'Préstamos'!$M$10:$M$69,0)),""))</f>
        <v/>
      </c>
      <c r="L32" s="14">
        <f>IF(B32="","",IFERROR(INDEX('Préstamos'!$F$10:$F$69,MATCH(B32,'Préstamos'!$M$10:$M$69,0)),""))</f>
        <v/>
      </c>
      <c r="M32" s="23">
        <f>IF(B32="","",I32+(1000-ROW())/100000)</f>
        <v/>
      </c>
    </row>
    <row r="33">
      <c r="B33" s="20" t="n"/>
      <c r="C33" s="21" t="n"/>
      <c r="D33" s="21" t="n"/>
      <c r="E33" s="21" t="n"/>
      <c r="F33" s="20" t="n"/>
      <c r="G33" s="21" t="n"/>
      <c r="H33" s="20" t="n"/>
      <c r="I33" s="12">
        <f>IF(B33="","",COUNTIFS('Préstamos'!$B$10:$B$69,B33,'Préstamos'!$E$10:$E$69,"&lt;&gt;"))</f>
        <v/>
      </c>
      <c r="J33" s="22">
        <f>IF(B33="","",IF(COUNTIF('Préstamos'!$M$10:$M$69,B33)&gt;0,"Prestado","Disponible"))</f>
        <v/>
      </c>
      <c r="K33" s="11">
        <f>IF(B33="","",IFERROR(INDEX('Préstamos'!$D$10:$D$69,MATCH(B33,'Préstamos'!$M$10:$M$69,0)),""))</f>
        <v/>
      </c>
      <c r="L33" s="14">
        <f>IF(B33="","",IFERROR(INDEX('Préstamos'!$F$10:$F$69,MATCH(B33,'Préstamos'!$M$10:$M$69,0)),""))</f>
        <v/>
      </c>
      <c r="M33" s="23">
        <f>IF(B33="","",I33+(1000-ROW())/100000)</f>
        <v/>
      </c>
    </row>
    <row r="34">
      <c r="B34" s="20" t="n"/>
      <c r="C34" s="21" t="n"/>
      <c r="D34" s="21" t="n"/>
      <c r="E34" s="21" t="n"/>
      <c r="F34" s="20" t="n"/>
      <c r="G34" s="21" t="n"/>
      <c r="H34" s="20" t="n"/>
      <c r="I34" s="12">
        <f>IF(B34="","",COUNTIFS('Préstamos'!$B$10:$B$69,B34,'Préstamos'!$E$10:$E$69,"&lt;&gt;"))</f>
        <v/>
      </c>
      <c r="J34" s="22">
        <f>IF(B34="","",IF(COUNTIF('Préstamos'!$M$10:$M$69,B34)&gt;0,"Prestado","Disponible"))</f>
        <v/>
      </c>
      <c r="K34" s="11">
        <f>IF(B34="","",IFERROR(INDEX('Préstamos'!$D$10:$D$69,MATCH(B34,'Préstamos'!$M$10:$M$69,0)),""))</f>
        <v/>
      </c>
      <c r="L34" s="14">
        <f>IF(B34="","",IFERROR(INDEX('Préstamos'!$F$10:$F$69,MATCH(B34,'Préstamos'!$M$10:$M$69,0)),""))</f>
        <v/>
      </c>
      <c r="M34" s="23">
        <f>IF(B34="","",I34+(1000-ROW())/100000)</f>
        <v/>
      </c>
    </row>
    <row r="35">
      <c r="B35" s="20" t="n"/>
      <c r="C35" s="21" t="n"/>
      <c r="D35" s="21" t="n"/>
      <c r="E35" s="21" t="n"/>
      <c r="F35" s="20" t="n"/>
      <c r="G35" s="21" t="n"/>
      <c r="H35" s="20" t="n"/>
      <c r="I35" s="12">
        <f>IF(B35="","",COUNTIFS('Préstamos'!$B$10:$B$69,B35,'Préstamos'!$E$10:$E$69,"&lt;&gt;"))</f>
        <v/>
      </c>
      <c r="J35" s="22">
        <f>IF(B35="","",IF(COUNTIF('Préstamos'!$M$10:$M$69,B35)&gt;0,"Prestado","Disponible"))</f>
        <v/>
      </c>
      <c r="K35" s="11">
        <f>IF(B35="","",IFERROR(INDEX('Préstamos'!$D$10:$D$69,MATCH(B35,'Préstamos'!$M$10:$M$69,0)),""))</f>
        <v/>
      </c>
      <c r="L35" s="14">
        <f>IF(B35="","",IFERROR(INDEX('Préstamos'!$F$10:$F$69,MATCH(B35,'Préstamos'!$M$10:$M$69,0)),""))</f>
        <v/>
      </c>
      <c r="M35" s="23">
        <f>IF(B35="","",I35+(1000-ROW())/100000)</f>
        <v/>
      </c>
    </row>
    <row r="36">
      <c r="B36" s="20" t="n"/>
      <c r="C36" s="21" t="n"/>
      <c r="D36" s="21" t="n"/>
      <c r="E36" s="21" t="n"/>
      <c r="F36" s="20" t="n"/>
      <c r="G36" s="21" t="n"/>
      <c r="H36" s="20" t="n"/>
      <c r="I36" s="12">
        <f>IF(B36="","",COUNTIFS('Préstamos'!$B$10:$B$69,B36,'Préstamos'!$E$10:$E$69,"&lt;&gt;"))</f>
        <v/>
      </c>
      <c r="J36" s="22">
        <f>IF(B36="","",IF(COUNTIF('Préstamos'!$M$10:$M$69,B36)&gt;0,"Prestado","Disponible"))</f>
        <v/>
      </c>
      <c r="K36" s="11">
        <f>IF(B36="","",IFERROR(INDEX('Préstamos'!$D$10:$D$69,MATCH(B36,'Préstamos'!$M$10:$M$69,0)),""))</f>
        <v/>
      </c>
      <c r="L36" s="14">
        <f>IF(B36="","",IFERROR(INDEX('Préstamos'!$F$10:$F$69,MATCH(B36,'Préstamos'!$M$10:$M$69,0)),""))</f>
        <v/>
      </c>
      <c r="M36" s="23">
        <f>IF(B36="","",I36+(1000-ROW())/100000)</f>
        <v/>
      </c>
    </row>
    <row r="37">
      <c r="B37" s="20" t="n"/>
      <c r="C37" s="21" t="n"/>
      <c r="D37" s="21" t="n"/>
      <c r="E37" s="21" t="n"/>
      <c r="F37" s="20" t="n"/>
      <c r="G37" s="21" t="n"/>
      <c r="H37" s="20" t="n"/>
      <c r="I37" s="12">
        <f>IF(B37="","",COUNTIFS('Préstamos'!$B$10:$B$69,B37,'Préstamos'!$E$10:$E$69,"&lt;&gt;"))</f>
        <v/>
      </c>
      <c r="J37" s="22">
        <f>IF(B37="","",IF(COUNTIF('Préstamos'!$M$10:$M$69,B37)&gt;0,"Prestado","Disponible"))</f>
        <v/>
      </c>
      <c r="K37" s="11">
        <f>IF(B37="","",IFERROR(INDEX('Préstamos'!$D$10:$D$69,MATCH(B37,'Préstamos'!$M$10:$M$69,0)),""))</f>
        <v/>
      </c>
      <c r="L37" s="14">
        <f>IF(B37="","",IFERROR(INDEX('Préstamos'!$F$10:$F$69,MATCH(B37,'Préstamos'!$M$10:$M$69,0)),""))</f>
        <v/>
      </c>
      <c r="M37" s="23">
        <f>IF(B37="","",I37+(1000-ROW())/100000)</f>
        <v/>
      </c>
    </row>
    <row r="38">
      <c r="B38" s="20" t="n"/>
      <c r="C38" s="21" t="n"/>
      <c r="D38" s="21" t="n"/>
      <c r="E38" s="21" t="n"/>
      <c r="F38" s="20" t="n"/>
      <c r="G38" s="21" t="n"/>
      <c r="H38" s="20" t="n"/>
      <c r="I38" s="12">
        <f>IF(B38="","",COUNTIFS('Préstamos'!$B$10:$B$69,B38,'Préstamos'!$E$10:$E$69,"&lt;&gt;"))</f>
        <v/>
      </c>
      <c r="J38" s="22">
        <f>IF(B38="","",IF(COUNTIF('Préstamos'!$M$10:$M$69,B38)&gt;0,"Prestado","Disponible"))</f>
        <v/>
      </c>
      <c r="K38" s="11">
        <f>IF(B38="","",IFERROR(INDEX('Préstamos'!$D$10:$D$69,MATCH(B38,'Préstamos'!$M$10:$M$69,0)),""))</f>
        <v/>
      </c>
      <c r="L38" s="14">
        <f>IF(B38="","",IFERROR(INDEX('Préstamos'!$F$10:$F$69,MATCH(B38,'Préstamos'!$M$10:$M$69,0)),""))</f>
        <v/>
      </c>
      <c r="M38" s="23">
        <f>IF(B38="","",I38+(1000-ROW())/100000)</f>
        <v/>
      </c>
    </row>
    <row r="39">
      <c r="B39" s="20" t="n"/>
      <c r="C39" s="21" t="n"/>
      <c r="D39" s="21" t="n"/>
      <c r="E39" s="21" t="n"/>
      <c r="F39" s="20" t="n"/>
      <c r="G39" s="21" t="n"/>
      <c r="H39" s="20" t="n"/>
      <c r="I39" s="12">
        <f>IF(B39="","",COUNTIFS('Préstamos'!$B$10:$B$69,B39,'Préstamos'!$E$10:$E$69,"&lt;&gt;"))</f>
        <v/>
      </c>
      <c r="J39" s="22">
        <f>IF(B39="","",IF(COUNTIF('Préstamos'!$M$10:$M$69,B39)&gt;0,"Prestado","Disponible"))</f>
        <v/>
      </c>
      <c r="K39" s="11">
        <f>IF(B39="","",IFERROR(INDEX('Préstamos'!$D$10:$D$69,MATCH(B39,'Préstamos'!$M$10:$M$69,0)),""))</f>
        <v/>
      </c>
      <c r="L39" s="14">
        <f>IF(B39="","",IFERROR(INDEX('Préstamos'!$F$10:$F$69,MATCH(B39,'Préstamos'!$M$10:$M$69,0)),""))</f>
        <v/>
      </c>
      <c r="M39" s="23">
        <f>IF(B39="","",I39+(1000-ROW())/100000)</f>
        <v/>
      </c>
    </row>
    <row r="40">
      <c r="B40" s="20" t="n"/>
      <c r="C40" s="21" t="n"/>
      <c r="D40" s="21" t="n"/>
      <c r="E40" s="21" t="n"/>
      <c r="F40" s="20" t="n"/>
      <c r="G40" s="21" t="n"/>
      <c r="H40" s="20" t="n"/>
      <c r="I40" s="12">
        <f>IF(B40="","",COUNTIFS('Préstamos'!$B$10:$B$69,B40,'Préstamos'!$E$10:$E$69,"&lt;&gt;"))</f>
        <v/>
      </c>
      <c r="J40" s="22">
        <f>IF(B40="","",IF(COUNTIF('Préstamos'!$M$10:$M$69,B40)&gt;0,"Prestado","Disponible"))</f>
        <v/>
      </c>
      <c r="K40" s="11">
        <f>IF(B40="","",IFERROR(INDEX('Préstamos'!$D$10:$D$69,MATCH(B40,'Préstamos'!$M$10:$M$69,0)),""))</f>
        <v/>
      </c>
      <c r="L40" s="14">
        <f>IF(B40="","",IFERROR(INDEX('Préstamos'!$F$10:$F$69,MATCH(B40,'Préstamos'!$M$10:$M$69,0)),""))</f>
        <v/>
      </c>
      <c r="M40" s="23">
        <f>IF(B40="","",I40+(1000-ROW())/100000)</f>
        <v/>
      </c>
    </row>
    <row r="41">
      <c r="B41" s="20" t="n"/>
      <c r="C41" s="21" t="n"/>
      <c r="D41" s="21" t="n"/>
      <c r="E41" s="21" t="n"/>
      <c r="F41" s="20" t="n"/>
      <c r="G41" s="21" t="n"/>
      <c r="H41" s="20" t="n"/>
      <c r="I41" s="12">
        <f>IF(B41="","",COUNTIFS('Préstamos'!$B$10:$B$69,B41,'Préstamos'!$E$10:$E$69,"&lt;&gt;"))</f>
        <v/>
      </c>
      <c r="J41" s="22">
        <f>IF(B41="","",IF(COUNTIF('Préstamos'!$M$10:$M$69,B41)&gt;0,"Prestado","Disponible"))</f>
        <v/>
      </c>
      <c r="K41" s="11">
        <f>IF(B41="","",IFERROR(INDEX('Préstamos'!$D$10:$D$69,MATCH(B41,'Préstamos'!$M$10:$M$69,0)),""))</f>
        <v/>
      </c>
      <c r="L41" s="14">
        <f>IF(B41="","",IFERROR(INDEX('Préstamos'!$F$10:$F$69,MATCH(B41,'Préstamos'!$M$10:$M$69,0)),""))</f>
        <v/>
      </c>
      <c r="M41" s="23">
        <f>IF(B41="","",I41+(1000-ROW())/100000)</f>
        <v/>
      </c>
    </row>
    <row r="42">
      <c r="B42" s="20" t="n"/>
      <c r="C42" s="21" t="n"/>
      <c r="D42" s="21" t="n"/>
      <c r="E42" s="21" t="n"/>
      <c r="F42" s="20" t="n"/>
      <c r="G42" s="21" t="n"/>
      <c r="H42" s="20" t="n"/>
      <c r="I42" s="12">
        <f>IF(B42="","",COUNTIFS('Préstamos'!$B$10:$B$69,B42,'Préstamos'!$E$10:$E$69,"&lt;&gt;"))</f>
        <v/>
      </c>
      <c r="J42" s="22">
        <f>IF(B42="","",IF(COUNTIF('Préstamos'!$M$10:$M$69,B42)&gt;0,"Prestado","Disponible"))</f>
        <v/>
      </c>
      <c r="K42" s="11">
        <f>IF(B42="","",IFERROR(INDEX('Préstamos'!$D$10:$D$69,MATCH(B42,'Préstamos'!$M$10:$M$69,0)),""))</f>
        <v/>
      </c>
      <c r="L42" s="14">
        <f>IF(B42="","",IFERROR(INDEX('Préstamos'!$F$10:$F$69,MATCH(B42,'Préstamos'!$M$10:$M$69,0)),""))</f>
        <v/>
      </c>
      <c r="M42" s="23">
        <f>IF(B42="","",I42+(1000-ROW())/100000)</f>
        <v/>
      </c>
    </row>
    <row r="43">
      <c r="B43" s="20" t="n"/>
      <c r="C43" s="21" t="n"/>
      <c r="D43" s="21" t="n"/>
      <c r="E43" s="21" t="n"/>
      <c r="F43" s="20" t="n"/>
      <c r="G43" s="21" t="n"/>
      <c r="H43" s="20" t="n"/>
      <c r="I43" s="12">
        <f>IF(B43="","",COUNTIFS('Préstamos'!$B$10:$B$69,B43,'Préstamos'!$E$10:$E$69,"&lt;&gt;"))</f>
        <v/>
      </c>
      <c r="J43" s="22">
        <f>IF(B43="","",IF(COUNTIF('Préstamos'!$M$10:$M$69,B43)&gt;0,"Prestado","Disponible"))</f>
        <v/>
      </c>
      <c r="K43" s="11">
        <f>IF(B43="","",IFERROR(INDEX('Préstamos'!$D$10:$D$69,MATCH(B43,'Préstamos'!$M$10:$M$69,0)),""))</f>
        <v/>
      </c>
      <c r="L43" s="14">
        <f>IF(B43="","",IFERROR(INDEX('Préstamos'!$F$10:$F$69,MATCH(B43,'Préstamos'!$M$10:$M$69,0)),""))</f>
        <v/>
      </c>
      <c r="M43" s="23">
        <f>IF(B43="","",I43+(1000-ROW())/100000)</f>
        <v/>
      </c>
    </row>
    <row r="44">
      <c r="B44" s="20" t="n"/>
      <c r="C44" s="21" t="n"/>
      <c r="D44" s="21" t="n"/>
      <c r="E44" s="21" t="n"/>
      <c r="F44" s="20" t="n"/>
      <c r="G44" s="21" t="n"/>
      <c r="H44" s="20" t="n"/>
      <c r="I44" s="12">
        <f>IF(B44="","",COUNTIFS('Préstamos'!$B$10:$B$69,B44,'Préstamos'!$E$10:$E$69,"&lt;&gt;"))</f>
        <v/>
      </c>
      <c r="J44" s="22">
        <f>IF(B44="","",IF(COUNTIF('Préstamos'!$M$10:$M$69,B44)&gt;0,"Prestado","Disponible"))</f>
        <v/>
      </c>
      <c r="K44" s="11">
        <f>IF(B44="","",IFERROR(INDEX('Préstamos'!$D$10:$D$69,MATCH(B44,'Préstamos'!$M$10:$M$69,0)),""))</f>
        <v/>
      </c>
      <c r="L44" s="14">
        <f>IF(B44="","",IFERROR(INDEX('Préstamos'!$F$10:$F$69,MATCH(B44,'Préstamos'!$M$10:$M$69,0)),""))</f>
        <v/>
      </c>
      <c r="M44" s="23">
        <f>IF(B44="","",I44+(1000-ROW())/100000)</f>
        <v/>
      </c>
    </row>
    <row r="45">
      <c r="B45" s="20" t="n"/>
      <c r="C45" s="21" t="n"/>
      <c r="D45" s="21" t="n"/>
      <c r="E45" s="21" t="n"/>
      <c r="F45" s="20" t="n"/>
      <c r="G45" s="21" t="n"/>
      <c r="H45" s="20" t="n"/>
      <c r="I45" s="12">
        <f>IF(B45="","",COUNTIFS('Préstamos'!$B$10:$B$69,B45,'Préstamos'!$E$10:$E$69,"&lt;&gt;"))</f>
        <v/>
      </c>
      <c r="J45" s="22">
        <f>IF(B45="","",IF(COUNTIF('Préstamos'!$M$10:$M$69,B45)&gt;0,"Prestado","Disponible"))</f>
        <v/>
      </c>
      <c r="K45" s="11">
        <f>IF(B45="","",IFERROR(INDEX('Préstamos'!$D$10:$D$69,MATCH(B45,'Préstamos'!$M$10:$M$69,0)),""))</f>
        <v/>
      </c>
      <c r="L45" s="14">
        <f>IF(B45="","",IFERROR(INDEX('Préstamos'!$F$10:$F$69,MATCH(B45,'Préstamos'!$M$10:$M$69,0)),""))</f>
        <v/>
      </c>
      <c r="M45" s="23">
        <f>IF(B45="","",I45+(1000-ROW())/100000)</f>
        <v/>
      </c>
    </row>
    <row r="46">
      <c r="B46" s="18" t="inlineStr">
        <is>
          <t>TOTAL</t>
        </is>
      </c>
      <c r="I46" s="19">
        <f>SUM(I6:I45)</f>
        <v/>
      </c>
      <c r="J46" s="24">
        <f>COUNTIF(J6:J45,"Prestado")&amp;" prestados"</f>
        <v/>
      </c>
    </row>
    <row r="47">
      <c r="B47" s="15" t="inlineStr">
        <is>
          <t>Usa un código único por libro (LIB-001, LIB-002…) y pégalo también en una etiqueta del lomo. Las columnas Veces prestado, Disponibilidad y Prestado a se rellenan solas; la columna M es auxiliar (no tocar).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L2"/>
    <mergeCell ref="B3:L3"/>
  </mergeCells>
  <conditionalFormatting sqref="B6:L45">
    <cfRule type="expression" priority="1" dxfId="0">
      <formula>MOD(ROW(),2)=0</formula>
    </cfRule>
  </conditionalFormatting>
  <conditionalFormatting sqref="J6:J45">
    <cfRule type="cellIs" priority="2" operator="equal" dxfId="1">
      <formula>"Prestado"</formula>
    </cfRule>
    <cfRule type="cellIs" priority="3" operator="equal" dxfId="2">
      <formula>"Disponible"</formula>
    </cfRule>
  </conditionalFormatting>
  <conditionalFormatting sqref="H6:H45">
    <cfRule type="cellIs" priority="4" operator="equal" dxfId="3">
      <formula>"Deteriorado"</formula>
    </cfRule>
    <cfRule type="cellIs" priority="5" operator="equal" dxfId="1">
      <formula>"Regular"</formula>
    </cfRule>
  </conditionalFormatting>
  <conditionalFormatting sqref="I6:I45">
    <cfRule type="dataBar" priority="6">
      <dataBar>
        <cfvo type="num" val="0"/>
        <cfvo type="max"/>
        <color rgb="0034D399"/>
      </dataBar>
    </cfRule>
  </conditionalFormatting>
  <dataValidations count="4">
    <dataValidation sqref="E6:E45" showDropDown="0" showInputMessage="0" showErrorMessage="0" allowBlank="1" type="list">
      <formula1>=Listas!$A$2:$A$8</formula1>
    </dataValidation>
    <dataValidation sqref="F6:F45" showDropDown="0" showInputMessage="0" showErrorMessage="0" allowBlank="1" type="list">
      <formula1>=Listas!$B$2:$B$4</formula1>
    </dataValidation>
    <dataValidation sqref="G6:G45" showDropDown="0" showInputMessage="0" showErrorMessage="0" allowBlank="1" type="list">
      <formula1>=Listas!$C$2:$C$5</formula1>
    </dataValidation>
    <dataValidation sqref="H6:H45" showDropDown="0" showInputMessage="0" showErrorMessage="0" allowBlank="1" type="list">
      <formula1>=Listas!$D$2:$D$5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O71"/>
  <sheetViews>
    <sheetView showGridLines="0" tabSelected="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1" customWidth="1" min="2" max="2"/>
    <col width="36" customWidth="1" min="3" max="3"/>
    <col width="18" customWidth="1" min="4" max="4"/>
    <col width="13" customWidth="1" min="5" max="5"/>
    <col width="13" customWidth="1" min="6" max="6"/>
    <col width="13" customWidth="1" min="7" max="7"/>
    <col width="19" customWidth="1" min="8" max="8"/>
    <col width="10" customWidth="1" min="9" max="9"/>
    <col width="52" customWidth="1" min="10" max="10"/>
    <col width="26" customWidth="1" min="11" max="11"/>
    <col width="26" customWidth="1" min="12" max="12"/>
    <col width="9" customWidth="1" min="13" max="13"/>
    <col width="9" customWidth="1" min="14" max="14"/>
    <col width="9" customWidth="1" min="15" max="15"/>
  </cols>
  <sheetData>
    <row r="2" ht="34" customHeight="1">
      <c r="B2" s="1" t="inlineStr">
        <is>
          <t>Registro de préstamos de la biblioteca de aula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Anota cada salida con el código del libro, el alumno y la fecha. Cuando vuelva, escribe la fecha de devolución.</t>
        </is>
      </c>
    </row>
    <row r="5">
      <c r="B5" s="18" t="inlineStr">
        <is>
          <t>Fecha de control (hoy)</t>
        </is>
      </c>
      <c r="D5" s="25">
        <f>TODAY()</f>
        <v/>
      </c>
      <c r="E5" s="15" t="inlineStr">
        <is>
          <t>Déjala en =HOY() o escribe una fecha concreta para simular el estado de los préstamos.</t>
        </is>
      </c>
    </row>
    <row r="6">
      <c r="B6" s="18" t="inlineStr">
        <is>
          <t>Plazo de préstamo (días)</t>
        </is>
      </c>
      <c r="D6" s="26" t="n">
        <v>15</v>
      </c>
      <c r="E6" s="15" t="inlineStr">
        <is>
          <t>Se suma a la fecha de salida para calcular la devolución prevista de cada libro.</t>
        </is>
      </c>
    </row>
    <row r="7">
      <c r="B7" s="18" t="inlineStr">
        <is>
          <t>Días de aviso antes de vencer</t>
        </is>
      </c>
      <c r="D7" s="26" t="n">
        <v>3</v>
      </c>
      <c r="E7" s="15" t="inlineStr">
        <is>
          <t>Un préstamo abierto que vence dentro de ese plazo se marca «Vence pronto».</t>
        </is>
      </c>
    </row>
    <row r="9" ht="40" customHeight="1">
      <c r="B9" s="9" t="inlineStr">
        <is>
          <t>Código</t>
        </is>
      </c>
      <c r="C9" s="9" t="inlineStr">
        <is>
          <t>Título</t>
        </is>
      </c>
      <c r="D9" s="9" t="inlineStr">
        <is>
          <t>Alumno</t>
        </is>
      </c>
      <c r="E9" s="9" t="inlineStr">
        <is>
          <t>Fecha de salida</t>
        </is>
      </c>
      <c r="F9" s="9" t="inlineStr">
        <is>
          <t>Devolución prevista</t>
        </is>
      </c>
      <c r="G9" s="9" t="inlineStr">
        <is>
          <t>Fecha de devolución</t>
        </is>
      </c>
      <c r="H9" s="9" t="inlineStr">
        <is>
          <t>Estado</t>
        </is>
      </c>
      <c r="I9" s="9" t="inlineStr">
        <is>
          <t>Días de retraso</t>
        </is>
      </c>
      <c r="J9" s="9" t="inlineStr">
        <is>
          <t>Aviso</t>
        </is>
      </c>
      <c r="K9" s="9" t="inlineStr">
        <is>
          <t>Observaciones</t>
        </is>
      </c>
      <c r="L9" s="9" t="inlineStr">
        <is>
          <t>Control</t>
        </is>
      </c>
      <c r="M9" s="9" t="inlineStr">
        <is>
          <t>Aux. abierto</t>
        </is>
      </c>
      <c r="N9" s="9" t="inlineStr">
        <is>
          <t>Aux. retraso</t>
        </is>
      </c>
      <c r="O9" s="9" t="inlineStr">
        <is>
          <t>Aux. alumno</t>
        </is>
      </c>
    </row>
    <row r="10">
      <c r="B10" s="20" t="inlineStr">
        <is>
          <t>LIB-003</t>
        </is>
      </c>
      <c r="C10" s="11">
        <f>IF(B10="","",IFERROR(INDEX(Libros!$C$6:$C$45,MATCH(B10,Libros!$B$6:$B$45,0)),"¿Código?"))</f>
        <v/>
      </c>
      <c r="D10" s="21" t="inlineStr">
        <is>
          <t>Lucía M.</t>
        </is>
      </c>
      <c r="E10" s="25" t="n">
        <v>46266</v>
      </c>
      <c r="F10" s="14">
        <f>IF(E10="","",E10+$D$6)</f>
        <v/>
      </c>
      <c r="G10" s="25" t="n">
        <v>46279</v>
      </c>
      <c r="H10" s="22">
        <f>IF(OR(B10="",E10=""),"",IF(G10&lt;&gt;"",IF(G10&gt;F10,"Devuelto con retraso","Devuelto"),IF($D$5&gt;F10,"Retrasado",IF(F10-$D$5&lt;=$D$7,"Vence pronto","En préstamo"))))</f>
        <v/>
      </c>
      <c r="I10" s="16">
        <f>IF(OR(B10="",E10=""),"",IF(G10&lt;&gt;"",MAX(0,G10-F10),MAX(0,$D$5-F10)))</f>
        <v/>
      </c>
      <c r="J10" s="11">
        <f>IF(H10="Retrasado","AVISAR a "&amp;D10&amp;": «"&amp;C10&amp;"» lleva "&amp;I10&amp;" días de retraso",IF(H10="Vence pronto","Recordar a "&amp;D10&amp;" la devolución el "&amp;DAY(F10)&amp;"/"&amp;MONTH(F10),""))</f>
        <v/>
      </c>
      <c r="K10" s="21" t="inlineStr"/>
      <c r="L10" s="22">
        <f>IF(B10="","",IF(ISNA(MATCH(B10,Libros!$B$6:$B$45,0)),"Código no existe",IF(D10="","Falta el alumno",IF(E10="","Falta fecha de salida",IF(AND(G10&lt;&gt;"",G10&lt;E10),"Devolución anterior a salida",IF(AND(G10="",SUMPRODUCT(($B$10:$B$69=B10)*($E$10:$E$69&lt;&gt;"")*($G$10:$G$69=""))&gt;1),"Libro ya prestado","OK"))))))</f>
        <v/>
      </c>
      <c r="M10" s="27">
        <f>IF(AND(B10&lt;&gt;"",E10&lt;&gt;"",G10=""),B10,"")</f>
        <v/>
      </c>
      <c r="N10" s="23">
        <f>IF(H10="Retrasado",I10+(1000-ROW())/100000,"")</f>
        <v/>
      </c>
      <c r="O10" s="23">
        <f>IF(OR(D10="",E10=""),"",IF(COUNTIF($D$10:D10,D10)=1,COUNTIF($D$10:$D$69,D10)+(1000-ROW())/100000,""))</f>
        <v/>
      </c>
    </row>
    <row r="11">
      <c r="B11" s="20" t="inlineStr">
        <is>
          <t>LIB-007</t>
        </is>
      </c>
      <c r="C11" s="11">
        <f>IF(B11="","",IFERROR(INDEX(Libros!$C$6:$C$45,MATCH(B11,Libros!$B$6:$B$45,0)),"¿Código?"))</f>
        <v/>
      </c>
      <c r="D11" s="21" t="inlineStr">
        <is>
          <t>Álvaro T.</t>
        </is>
      </c>
      <c r="E11" s="25" t="n">
        <v>46267</v>
      </c>
      <c r="F11" s="14">
        <f>IF(E11="","",E11+$D$6)</f>
        <v/>
      </c>
      <c r="G11" s="25" t="n">
        <v>46281</v>
      </c>
      <c r="H11" s="22">
        <f>IF(OR(B11="",E11=""),"",IF(G11&lt;&gt;"",IF(G11&gt;F11,"Devuelto con retraso","Devuelto"),IF($D$5&gt;F11,"Retrasado",IF(F11-$D$5&lt;=$D$7,"Vence pronto","En préstamo"))))</f>
        <v/>
      </c>
      <c r="I11" s="16">
        <f>IF(OR(B11="",E11=""),"",IF(G11&lt;&gt;"",MAX(0,G11-F11),MAX(0,$D$5-F11)))</f>
        <v/>
      </c>
      <c r="J11" s="11">
        <f>IF(H11="Retrasado","AVISAR a "&amp;D11&amp;": «"&amp;C11&amp;"» lleva "&amp;I11&amp;" días de retraso",IF(H11="Vence pronto","Recordar a "&amp;D11&amp;" la devolución el "&amp;DAY(F11)&amp;"/"&amp;MONTH(F11),""))</f>
        <v/>
      </c>
      <c r="K11" s="21" t="inlineStr"/>
      <c r="L11" s="22">
        <f>IF(B11="","",IF(ISNA(MATCH(B11,Libros!$B$6:$B$45,0)),"Código no existe",IF(D11="","Falta el alumno",IF(E11="","Falta fecha de salida",IF(AND(G11&lt;&gt;"",G11&lt;E11),"Devolución anterior a salida",IF(AND(G11="",SUMPRODUCT(($B$10:$B$69=B11)*($E$10:$E$69&lt;&gt;"")*($G$10:$G$69=""))&gt;1),"Libro ya prestado","OK"))))))</f>
        <v/>
      </c>
      <c r="M11" s="27">
        <f>IF(AND(B11&lt;&gt;"",E11&lt;&gt;"",G11=""),B11,"")</f>
        <v/>
      </c>
      <c r="N11" s="23">
        <f>IF(H11="Retrasado",I11+(1000-ROW())/100000,"")</f>
        <v/>
      </c>
      <c r="O11" s="23">
        <f>IF(OR(D11="",E11=""),"",IF(COUNTIF($D$10:D11,D11)=1,COUNTIF($D$10:$D$69,D11)+(1000-ROW())/100000,""))</f>
        <v/>
      </c>
    </row>
    <row r="12">
      <c r="B12" s="20" t="inlineStr">
        <is>
          <t>LIB-006</t>
        </is>
      </c>
      <c r="C12" s="11">
        <f>IF(B12="","",IFERROR(INDEX(Libros!$C$6:$C$45,MATCH(B12,Libros!$B$6:$B$45,0)),"¿Código?"))</f>
        <v/>
      </c>
      <c r="D12" s="21" t="inlineStr">
        <is>
          <t>Lucía M.</t>
        </is>
      </c>
      <c r="E12" s="25" t="n">
        <v>46272</v>
      </c>
      <c r="F12" s="14">
        <f>IF(E12="","",E12+$D$6)</f>
        <v/>
      </c>
      <c r="G12" s="25" t="n">
        <v>46287</v>
      </c>
      <c r="H12" s="22">
        <f>IF(OR(B12="",E12=""),"",IF(G12&lt;&gt;"",IF(G12&gt;F12,"Devuelto con retraso","Devuelto"),IF($D$5&gt;F12,"Retrasado",IF(F12-$D$5&lt;=$D$7,"Vence pronto","En préstamo"))))</f>
        <v/>
      </c>
      <c r="I12" s="16">
        <f>IF(OR(B12="",E12=""),"",IF(G12&lt;&gt;"",MAX(0,G12-F12),MAX(0,$D$5-F12)))</f>
        <v/>
      </c>
      <c r="J12" s="11">
        <f>IF(H12="Retrasado","AVISAR a "&amp;D12&amp;": «"&amp;C12&amp;"» lleva "&amp;I12&amp;" días de retraso",IF(H12="Vence pronto","Recordar a "&amp;D12&amp;" la devolución el "&amp;DAY(F12)&amp;"/"&amp;MONTH(F12),""))</f>
        <v/>
      </c>
      <c r="K12" s="21" t="inlineStr">
        <is>
          <t>Le ha encantado</t>
        </is>
      </c>
      <c r="L12" s="22">
        <f>IF(B12="","",IF(ISNA(MATCH(B12,Libros!$B$6:$B$45,0)),"Código no existe",IF(D12="","Falta el alumno",IF(E12="","Falta fecha de salida",IF(AND(G12&lt;&gt;"",G12&lt;E12),"Devolución anterior a salida",IF(AND(G12="",SUMPRODUCT(($B$10:$B$69=B12)*($E$10:$E$69&lt;&gt;"")*($G$10:$G$69=""))&gt;1),"Libro ya prestado","OK"))))))</f>
        <v/>
      </c>
      <c r="M12" s="27">
        <f>IF(AND(B12&lt;&gt;"",E12&lt;&gt;"",G12=""),B12,"")</f>
        <v/>
      </c>
      <c r="N12" s="23">
        <f>IF(H12="Retrasado",I12+(1000-ROW())/100000,"")</f>
        <v/>
      </c>
      <c r="O12" s="23">
        <f>IF(OR(D12="",E12=""),"",IF(COUNTIF($D$10:D12,D12)=1,COUNTIF($D$10:$D$69,D12)+(1000-ROW())/100000,""))</f>
        <v/>
      </c>
    </row>
    <row r="13">
      <c r="B13" s="20" t="inlineStr">
        <is>
          <t>LIB-014</t>
        </is>
      </c>
      <c r="C13" s="11">
        <f>IF(B13="","",IFERROR(INDEX(Libros!$C$6:$C$45,MATCH(B13,Libros!$B$6:$B$45,0)),"¿Código?"))</f>
        <v/>
      </c>
      <c r="D13" s="21" t="inlineStr">
        <is>
          <t>Mateo S.</t>
        </is>
      </c>
      <c r="E13" s="25" t="n">
        <v>46273</v>
      </c>
      <c r="F13" s="14">
        <f>IF(E13="","",E13+$D$6)</f>
        <v/>
      </c>
      <c r="G13" s="25" t="n"/>
      <c r="H13" s="22">
        <f>IF(OR(B13="",E13=""),"",IF(G13&lt;&gt;"",IF(G13&gt;F13,"Devuelto con retraso","Devuelto"),IF($D$5&gt;F13,"Retrasado",IF(F13-$D$5&lt;=$D$7,"Vence pronto","En préstamo"))))</f>
        <v/>
      </c>
      <c r="I13" s="16">
        <f>IF(OR(B13="",E13=""),"",IF(G13&lt;&gt;"",MAX(0,G13-F13),MAX(0,$D$5-F13)))</f>
        <v/>
      </c>
      <c r="J13" s="11">
        <f>IF(H13="Retrasado","AVISAR a "&amp;D13&amp;": «"&amp;C13&amp;"» lleva "&amp;I13&amp;" días de retraso",IF(H13="Vence pronto","Recordar a "&amp;D13&amp;" la devolución el "&amp;DAY(F13)&amp;"/"&amp;MONTH(F13),""))</f>
        <v/>
      </c>
      <c r="K13" s="21" t="inlineStr">
        <is>
          <t>Pedir devolución a la familia</t>
        </is>
      </c>
      <c r="L13" s="22">
        <f>IF(B13="","",IF(ISNA(MATCH(B13,Libros!$B$6:$B$45,0)),"Código no existe",IF(D13="","Falta el alumno",IF(E13="","Falta fecha de salida",IF(AND(G13&lt;&gt;"",G13&lt;E13),"Devolución anterior a salida",IF(AND(G13="",SUMPRODUCT(($B$10:$B$69=B13)*($E$10:$E$69&lt;&gt;"")*($G$10:$G$69=""))&gt;1),"Libro ya prestado","OK"))))))</f>
        <v/>
      </c>
      <c r="M13" s="27">
        <f>IF(AND(B13&lt;&gt;"",E13&lt;&gt;"",G13=""),B13,"")</f>
        <v/>
      </c>
      <c r="N13" s="23">
        <f>IF(H13="Retrasado",I13+(1000-ROW())/100000,"")</f>
        <v/>
      </c>
      <c r="O13" s="23">
        <f>IF(OR(D13="",E13=""),"",IF(COUNTIF($D$10:D13,D13)=1,COUNTIF($D$10:$D$69,D13)+(1000-ROW())/100000,""))</f>
        <v/>
      </c>
    </row>
    <row r="14">
      <c r="B14" s="20" t="inlineStr">
        <is>
          <t>LIB-011</t>
        </is>
      </c>
      <c r="C14" s="11">
        <f>IF(B14="","",IFERROR(INDEX(Libros!$C$6:$C$45,MATCH(B14,Libros!$B$6:$B$45,0)),"¿Código?"))</f>
        <v/>
      </c>
      <c r="D14" s="21" t="inlineStr">
        <is>
          <t>Pablo R.</t>
        </is>
      </c>
      <c r="E14" s="25" t="n">
        <v>46275</v>
      </c>
      <c r="F14" s="14">
        <f>IF(E14="","",E14+$D$6)</f>
        <v/>
      </c>
      <c r="G14" s="25" t="n"/>
      <c r="H14" s="22">
        <f>IF(OR(B14="",E14=""),"",IF(G14&lt;&gt;"",IF(G14&gt;F14,"Devuelto con retraso","Devuelto"),IF($D$5&gt;F14,"Retrasado",IF(F14-$D$5&lt;=$D$7,"Vence pronto","En préstamo"))))</f>
        <v/>
      </c>
      <c r="I14" s="16">
        <f>IF(OR(B14="",E14=""),"",IF(G14&lt;&gt;"",MAX(0,G14-F14),MAX(0,$D$5-F14)))</f>
        <v/>
      </c>
      <c r="J14" s="11">
        <f>IF(H14="Retrasado","AVISAR a "&amp;D14&amp;": «"&amp;C14&amp;"» lleva "&amp;I14&amp;" días de retraso",IF(H14="Vence pronto","Recordar a "&amp;D14&amp;" la devolución el "&amp;DAY(F14)&amp;"/"&amp;MONTH(F14),""))</f>
        <v/>
      </c>
      <c r="K14" s="21" t="inlineStr"/>
      <c r="L14" s="22">
        <f>IF(B14="","",IF(ISNA(MATCH(B14,Libros!$B$6:$B$45,0)),"Código no existe",IF(D14="","Falta el alumno",IF(E14="","Falta fecha de salida",IF(AND(G14&lt;&gt;"",G14&lt;E14),"Devolución anterior a salida",IF(AND(G14="",SUMPRODUCT(($B$10:$B$69=B14)*($E$10:$E$69&lt;&gt;"")*($G$10:$G$69=""))&gt;1),"Libro ya prestado","OK"))))))</f>
        <v/>
      </c>
      <c r="M14" s="27">
        <f>IF(AND(B14&lt;&gt;"",E14&lt;&gt;"",G14=""),B14,"")</f>
        <v/>
      </c>
      <c r="N14" s="23">
        <f>IF(H14="Retrasado",I14+(1000-ROW())/100000,"")</f>
        <v/>
      </c>
      <c r="O14" s="23">
        <f>IF(OR(D14="",E14=""),"",IF(COUNTIF($D$10:D14,D14)=1,COUNTIF($D$10:$D$69,D14)+(1000-ROW())/100000,""))</f>
        <v/>
      </c>
    </row>
    <row r="15">
      <c r="B15" s="20" t="inlineStr">
        <is>
          <t>LIB-001</t>
        </is>
      </c>
      <c r="C15" s="11">
        <f>IF(B15="","",IFERROR(INDEX(Libros!$C$6:$C$45,MATCH(B15,Libros!$B$6:$B$45,0)),"¿Código?"))</f>
        <v/>
      </c>
      <c r="D15" s="21" t="inlineStr">
        <is>
          <t>Lucía M.</t>
        </is>
      </c>
      <c r="E15" s="25" t="n">
        <v>46279</v>
      </c>
      <c r="F15" s="14">
        <f>IF(E15="","",E15+$D$6)</f>
        <v/>
      </c>
      <c r="G15" s="25" t="n">
        <v>46290</v>
      </c>
      <c r="H15" s="22">
        <f>IF(OR(B15="",E15=""),"",IF(G15&lt;&gt;"",IF(G15&gt;F15,"Devuelto con retraso","Devuelto"),IF($D$5&gt;F15,"Retrasado",IF(F15-$D$5&lt;=$D$7,"Vence pronto","En préstamo"))))</f>
        <v/>
      </c>
      <c r="I15" s="16">
        <f>IF(OR(B15="",E15=""),"",IF(G15&lt;&gt;"",MAX(0,G15-F15),MAX(0,$D$5-F15)))</f>
        <v/>
      </c>
      <c r="J15" s="11">
        <f>IF(H15="Retrasado","AVISAR a "&amp;D15&amp;": «"&amp;C15&amp;"» lleva "&amp;I15&amp;" días de retraso",IF(H15="Vence pronto","Recordar a "&amp;D15&amp;" la devolución el "&amp;DAY(F15)&amp;"/"&amp;MONTH(F15),""))</f>
        <v/>
      </c>
      <c r="K15" s="21" t="inlineStr"/>
      <c r="L15" s="22">
        <f>IF(B15="","",IF(ISNA(MATCH(B15,Libros!$B$6:$B$45,0)),"Código no existe",IF(D15="","Falta el alumno",IF(E15="","Falta fecha de salida",IF(AND(G15&lt;&gt;"",G15&lt;E15),"Devolución anterior a salida",IF(AND(G15="",SUMPRODUCT(($B$10:$B$69=B15)*($E$10:$E$69&lt;&gt;"")*($G$10:$G$69=""))&gt;1),"Libro ya prestado","OK"))))))</f>
        <v/>
      </c>
      <c r="M15" s="27">
        <f>IF(AND(B15&lt;&gt;"",E15&lt;&gt;"",G15=""),B15,"")</f>
        <v/>
      </c>
      <c r="N15" s="23">
        <f>IF(H15="Retrasado",I15+(1000-ROW())/100000,"")</f>
        <v/>
      </c>
      <c r="O15" s="23">
        <f>IF(OR(D15="",E15=""),"",IF(COUNTIF($D$10:D15,D15)=1,COUNTIF($D$10:$D$69,D15)+(1000-ROW())/100000,""))</f>
        <v/>
      </c>
    </row>
    <row r="16">
      <c r="B16" s="20" t="inlineStr">
        <is>
          <t>LIB-005</t>
        </is>
      </c>
      <c r="C16" s="11">
        <f>IF(B16="","",IFERROR(INDEX(Libros!$C$6:$C$45,MATCH(B16,Libros!$B$6:$B$45,0)),"¿Código?"))</f>
        <v/>
      </c>
      <c r="D16" s="21" t="inlineStr">
        <is>
          <t>Mateo S.</t>
        </is>
      </c>
      <c r="E16" s="25" t="n">
        <v>46279</v>
      </c>
      <c r="F16" s="14">
        <f>IF(E16="","",E16+$D$6)</f>
        <v/>
      </c>
      <c r="G16" s="25" t="n">
        <v>46297</v>
      </c>
      <c r="H16" s="22">
        <f>IF(OR(B16="",E16=""),"",IF(G16&lt;&gt;"",IF(G16&gt;F16,"Devuelto con retraso","Devuelto"),IF($D$5&gt;F16,"Retrasado",IF(F16-$D$5&lt;=$D$7,"Vence pronto","En préstamo"))))</f>
        <v/>
      </c>
      <c r="I16" s="16">
        <f>IF(OR(B16="",E16=""),"",IF(G16&lt;&gt;"",MAX(0,G16-F16),MAX(0,$D$5-F16)))</f>
        <v/>
      </c>
      <c r="J16" s="11">
        <f>IF(H16="Retrasado","AVISAR a "&amp;D16&amp;": «"&amp;C16&amp;"» lleva "&amp;I16&amp;" días de retraso",IF(H16="Vence pronto","Recordar a "&amp;D16&amp;" la devolución el "&amp;DAY(F16)&amp;"/"&amp;MONTH(F16),""))</f>
        <v/>
      </c>
      <c r="K16" s="21" t="inlineStr">
        <is>
          <t>Entregado con retraso</t>
        </is>
      </c>
      <c r="L16" s="22">
        <f>IF(B16="","",IF(ISNA(MATCH(B16,Libros!$B$6:$B$45,0)),"Código no existe",IF(D16="","Falta el alumno",IF(E16="","Falta fecha de salida",IF(AND(G16&lt;&gt;"",G16&lt;E16),"Devolución anterior a salida",IF(AND(G16="",SUMPRODUCT(($B$10:$B$69=B16)*($E$10:$E$69&lt;&gt;"")*($G$10:$G$69=""))&gt;1),"Libro ya prestado","OK"))))))</f>
        <v/>
      </c>
      <c r="M16" s="27">
        <f>IF(AND(B16&lt;&gt;"",E16&lt;&gt;"",G16=""),B16,"")</f>
        <v/>
      </c>
      <c r="N16" s="23">
        <f>IF(H16="Retrasado",I16+(1000-ROW())/100000,"")</f>
        <v/>
      </c>
      <c r="O16" s="23">
        <f>IF(OR(D16="",E16=""),"",IF(COUNTIF($D$10:D16,D16)=1,COUNTIF($D$10:$D$69,D16)+(1000-ROW())/100000,""))</f>
        <v/>
      </c>
    </row>
    <row r="17">
      <c r="B17" s="20" t="inlineStr">
        <is>
          <t>LIB-009</t>
        </is>
      </c>
      <c r="C17" s="11">
        <f>IF(B17="","",IFERROR(INDEX(Libros!$C$6:$C$45,MATCH(B17,Libros!$B$6:$B$45,0)),"¿Código?"))</f>
        <v/>
      </c>
      <c r="D17" s="21" t="inlineStr">
        <is>
          <t>Sofía G.</t>
        </is>
      </c>
      <c r="E17" s="25" t="n">
        <v>46279</v>
      </c>
      <c r="F17" s="14">
        <f>IF(E17="","",E17+$D$6)</f>
        <v/>
      </c>
      <c r="G17" s="25" t="n">
        <v>46289</v>
      </c>
      <c r="H17" s="22">
        <f>IF(OR(B17="",E17=""),"",IF(G17&lt;&gt;"",IF(G17&gt;F17,"Devuelto con retraso","Devuelto"),IF($D$5&gt;F17,"Retrasado",IF(F17-$D$5&lt;=$D$7,"Vence pronto","En préstamo"))))</f>
        <v/>
      </c>
      <c r="I17" s="16">
        <f>IF(OR(B17="",E17=""),"",IF(G17&lt;&gt;"",MAX(0,G17-F17),MAX(0,$D$5-F17)))</f>
        <v/>
      </c>
      <c r="J17" s="11">
        <f>IF(H17="Retrasado","AVISAR a "&amp;D17&amp;": «"&amp;C17&amp;"» lleva "&amp;I17&amp;" días de retraso",IF(H17="Vence pronto","Recordar a "&amp;D17&amp;" la devolución el "&amp;DAY(F17)&amp;"/"&amp;MONTH(F17),""))</f>
        <v/>
      </c>
      <c r="K17" s="21" t="inlineStr"/>
      <c r="L17" s="22">
        <f>IF(B17="","",IF(ISNA(MATCH(B17,Libros!$B$6:$B$45,0)),"Código no existe",IF(D17="","Falta el alumno",IF(E17="","Falta fecha de salida",IF(AND(G17&lt;&gt;"",G17&lt;E17),"Devolución anterior a salida",IF(AND(G17="",SUMPRODUCT(($B$10:$B$69=B17)*($E$10:$E$69&lt;&gt;"")*($G$10:$G$69=""))&gt;1),"Libro ya prestado","OK"))))))</f>
        <v/>
      </c>
      <c r="M17" s="27">
        <f>IF(AND(B17&lt;&gt;"",E17&lt;&gt;"",G17=""),B17,"")</f>
        <v/>
      </c>
      <c r="N17" s="23">
        <f>IF(H17="Retrasado",I17+(1000-ROW())/100000,"")</f>
        <v/>
      </c>
      <c r="O17" s="23">
        <f>IF(OR(D17="",E17=""),"",IF(COUNTIF($D$10:D17,D17)=1,COUNTIF($D$10:$D$69,D17)+(1000-ROW())/100000,""))</f>
        <v/>
      </c>
    </row>
    <row r="18">
      <c r="B18" s="20" t="inlineStr">
        <is>
          <t>LIB-003</t>
        </is>
      </c>
      <c r="C18" s="11">
        <f>IF(B18="","",IFERROR(INDEX(Libros!$C$6:$C$45,MATCH(B18,Libros!$B$6:$B$45,0)),"¿Código?"))</f>
        <v/>
      </c>
      <c r="D18" s="21" t="inlineStr">
        <is>
          <t>Hugo L.</t>
        </is>
      </c>
      <c r="E18" s="25" t="n">
        <v>46280</v>
      </c>
      <c r="F18" s="14">
        <f>IF(E18="","",E18+$D$6)</f>
        <v/>
      </c>
      <c r="G18" s="25" t="n"/>
      <c r="H18" s="22">
        <f>IF(OR(B18="",E18=""),"",IF(G18&lt;&gt;"",IF(G18&gt;F18,"Devuelto con retraso","Devuelto"),IF($D$5&gt;F18,"Retrasado",IF(F18-$D$5&lt;=$D$7,"Vence pronto","En préstamo"))))</f>
        <v/>
      </c>
      <c r="I18" s="16">
        <f>IF(OR(B18="",E18=""),"",IF(G18&lt;&gt;"",MAX(0,G18-F18),MAX(0,$D$5-F18)))</f>
        <v/>
      </c>
      <c r="J18" s="11">
        <f>IF(H18="Retrasado","AVISAR a "&amp;D18&amp;": «"&amp;C18&amp;"» lleva "&amp;I18&amp;" días de retraso",IF(H18="Vence pronto","Recordar a "&amp;D18&amp;" la devolución el "&amp;DAY(F18)&amp;"/"&amp;MONTH(F18),""))</f>
        <v/>
      </c>
      <c r="K18" s="21" t="inlineStr"/>
      <c r="L18" s="22">
        <f>IF(B18="","",IF(ISNA(MATCH(B18,Libros!$B$6:$B$45,0)),"Código no existe",IF(D18="","Falta el alumno",IF(E18="","Falta fecha de salida",IF(AND(G18&lt;&gt;"",G18&lt;E18),"Devolución anterior a salida",IF(AND(G18="",SUMPRODUCT(($B$10:$B$69=B18)*($E$10:$E$69&lt;&gt;"")*($G$10:$G$69=""))&gt;1),"Libro ya prestado","OK"))))))</f>
        <v/>
      </c>
      <c r="M18" s="27">
        <f>IF(AND(B18&lt;&gt;"",E18&lt;&gt;"",G18=""),B18,"")</f>
        <v/>
      </c>
      <c r="N18" s="23">
        <f>IF(H18="Retrasado",I18+(1000-ROW())/100000,"")</f>
        <v/>
      </c>
      <c r="O18" s="23">
        <f>IF(OR(D18="",E18=""),"",IF(COUNTIF($D$10:D18,D18)=1,COUNTIF($D$10:$D$69,D18)+(1000-ROW())/100000,""))</f>
        <v/>
      </c>
    </row>
    <row r="19">
      <c r="B19" s="20" t="inlineStr">
        <is>
          <t>LIB-002</t>
        </is>
      </c>
      <c r="C19" s="11">
        <f>IF(B19="","",IFERROR(INDEX(Libros!$C$6:$C$45,MATCH(B19,Libros!$B$6:$B$45,0)),"¿Código?"))</f>
        <v/>
      </c>
      <c r="D19" s="21" t="inlineStr">
        <is>
          <t>Sofía G.</t>
        </is>
      </c>
      <c r="E19" s="25" t="n">
        <v>46281</v>
      </c>
      <c r="F19" s="14">
        <f>IF(E19="","",E19+$D$6)</f>
        <v/>
      </c>
      <c r="G19" s="25" t="n">
        <v>46295</v>
      </c>
      <c r="H19" s="22">
        <f>IF(OR(B19="",E19=""),"",IF(G19&lt;&gt;"",IF(G19&gt;F19,"Devuelto con retraso","Devuelto"),IF($D$5&gt;F19,"Retrasado",IF(F19-$D$5&lt;=$D$7,"Vence pronto","En préstamo"))))</f>
        <v/>
      </c>
      <c r="I19" s="16">
        <f>IF(OR(B19="",E19=""),"",IF(G19&lt;&gt;"",MAX(0,G19-F19),MAX(0,$D$5-F19)))</f>
        <v/>
      </c>
      <c r="J19" s="11">
        <f>IF(H19="Retrasado","AVISAR a "&amp;D19&amp;": «"&amp;C19&amp;"» lleva "&amp;I19&amp;" días de retraso",IF(H19="Vence pronto","Recordar a "&amp;D19&amp;" la devolución el "&amp;DAY(F19)&amp;"/"&amp;MONTH(F19),""))</f>
        <v/>
      </c>
      <c r="K19" s="21" t="inlineStr"/>
      <c r="L19" s="22">
        <f>IF(B19="","",IF(ISNA(MATCH(B19,Libros!$B$6:$B$45,0)),"Código no existe",IF(D19="","Falta el alumno",IF(E19="","Falta fecha de salida",IF(AND(G19&lt;&gt;"",G19&lt;E19),"Devolución anterior a salida",IF(AND(G19="",SUMPRODUCT(($B$10:$B$69=B19)*($E$10:$E$69&lt;&gt;"")*($G$10:$G$69=""))&gt;1),"Libro ya prestado","OK"))))))</f>
        <v/>
      </c>
      <c r="M19" s="27">
        <f>IF(AND(B19&lt;&gt;"",E19&lt;&gt;"",G19=""),B19,"")</f>
        <v/>
      </c>
      <c r="N19" s="23">
        <f>IF(H19="Retrasado",I19+(1000-ROW())/100000,"")</f>
        <v/>
      </c>
      <c r="O19" s="23">
        <f>IF(OR(D19="",E19=""),"",IF(COUNTIF($D$10:D19,D19)=1,COUNTIF($D$10:$D$69,D19)+(1000-ROW())/100000,""))</f>
        <v/>
      </c>
    </row>
    <row r="20">
      <c r="B20" s="20" t="inlineStr">
        <is>
          <t>LIB-004</t>
        </is>
      </c>
      <c r="C20" s="11">
        <f>IF(B20="","",IFERROR(INDEX(Libros!$C$6:$C$45,MATCH(B20,Libros!$B$6:$B$45,0)),"¿Código?"))</f>
        <v/>
      </c>
      <c r="D20" s="21" t="inlineStr">
        <is>
          <t>Carla N.</t>
        </is>
      </c>
      <c r="E20" s="25" t="n">
        <v>46282</v>
      </c>
      <c r="F20" s="14">
        <f>IF(E20="","",E20+$D$6)</f>
        <v/>
      </c>
      <c r="G20" s="25" t="n">
        <v>46296</v>
      </c>
      <c r="H20" s="22">
        <f>IF(OR(B20="",E20=""),"",IF(G20&lt;&gt;"",IF(G20&gt;F20,"Devuelto con retraso","Devuelto"),IF($D$5&gt;F20,"Retrasado",IF(F20-$D$5&lt;=$D$7,"Vence pronto","En préstamo"))))</f>
        <v/>
      </c>
      <c r="I20" s="16">
        <f>IF(OR(B20="",E20=""),"",IF(G20&lt;&gt;"",MAX(0,G20-F20),MAX(0,$D$5-F20)))</f>
        <v/>
      </c>
      <c r="J20" s="11">
        <f>IF(H20="Retrasado","AVISAR a "&amp;D20&amp;": «"&amp;C20&amp;"» lleva "&amp;I20&amp;" días de retraso",IF(H20="Vence pronto","Recordar a "&amp;D20&amp;" la devolución el "&amp;DAY(F20)&amp;"/"&amp;MONTH(F20),""))</f>
        <v/>
      </c>
      <c r="K20" s="21" t="inlineStr">
        <is>
          <t>Cubierta algo despegada</t>
        </is>
      </c>
      <c r="L20" s="22">
        <f>IF(B20="","",IF(ISNA(MATCH(B20,Libros!$B$6:$B$45,0)),"Código no existe",IF(D20="","Falta el alumno",IF(E20="","Falta fecha de salida",IF(AND(G20&lt;&gt;"",G20&lt;E20),"Devolución anterior a salida",IF(AND(G20="",SUMPRODUCT(($B$10:$B$69=B20)*($E$10:$E$69&lt;&gt;"")*($G$10:$G$69=""))&gt;1),"Libro ya prestado","OK"))))))</f>
        <v/>
      </c>
      <c r="M20" s="27">
        <f>IF(AND(B20&lt;&gt;"",E20&lt;&gt;"",G20=""),B20,"")</f>
        <v/>
      </c>
      <c r="N20" s="23">
        <f>IF(H20="Retrasado",I20+(1000-ROW())/100000,"")</f>
        <v/>
      </c>
      <c r="O20" s="23">
        <f>IF(OR(D20="",E20=""),"",IF(COUNTIF($D$10:D20,D20)=1,COUNTIF($D$10:$D$69,D20)+(1000-ROW())/100000,""))</f>
        <v/>
      </c>
    </row>
    <row r="21">
      <c r="B21" s="20" t="inlineStr">
        <is>
          <t>LIB-008</t>
        </is>
      </c>
      <c r="C21" s="11">
        <f>IF(B21="","",IFERROR(INDEX(Libros!$C$6:$C$45,MATCH(B21,Libros!$B$6:$B$45,0)),"¿Código?"))</f>
        <v/>
      </c>
      <c r="D21" s="21" t="inlineStr">
        <is>
          <t>Hugo L.</t>
        </is>
      </c>
      <c r="E21" s="25" t="n">
        <v>46283</v>
      </c>
      <c r="F21" s="14">
        <f>IF(E21="","",E21+$D$6)</f>
        <v/>
      </c>
      <c r="G21" s="25" t="n"/>
      <c r="H21" s="22">
        <f>IF(OR(B21="",E21=""),"",IF(G21&lt;&gt;"",IF(G21&gt;F21,"Devuelto con retraso","Devuelto"),IF($D$5&gt;F21,"Retrasado",IF(F21-$D$5&lt;=$D$7,"Vence pronto","En préstamo"))))</f>
        <v/>
      </c>
      <c r="I21" s="16">
        <f>IF(OR(B21="",E21=""),"",IF(G21&lt;&gt;"",MAX(0,G21-F21),MAX(0,$D$5-F21)))</f>
        <v/>
      </c>
      <c r="J21" s="11">
        <f>IF(H21="Retrasado","AVISAR a "&amp;D21&amp;": «"&amp;C21&amp;"» lleva "&amp;I21&amp;" días de retraso",IF(H21="Vence pronto","Recordar a "&amp;D21&amp;" la devolución el "&amp;DAY(F21)&amp;"/"&amp;MONTH(F21),""))</f>
        <v/>
      </c>
      <c r="K21" s="21" t="inlineStr"/>
      <c r="L21" s="22">
        <f>IF(B21="","",IF(ISNA(MATCH(B21,Libros!$B$6:$B$45,0)),"Código no existe",IF(D21="","Falta el alumno",IF(E21="","Falta fecha de salida",IF(AND(G21&lt;&gt;"",G21&lt;E21),"Devolución anterior a salida",IF(AND(G21="",SUMPRODUCT(($B$10:$B$69=B21)*($E$10:$E$69&lt;&gt;"")*($G$10:$G$69=""))&gt;1),"Libro ya prestado","OK"))))))</f>
        <v/>
      </c>
      <c r="M21" s="27">
        <f>IF(AND(B21&lt;&gt;"",E21&lt;&gt;"",G21=""),B21,"")</f>
        <v/>
      </c>
      <c r="N21" s="23">
        <f>IF(H21="Retrasado",I21+(1000-ROW())/100000,"")</f>
        <v/>
      </c>
      <c r="O21" s="23">
        <f>IF(OR(D21="",E21=""),"",IF(COUNTIF($D$10:D21,D21)=1,COUNTIF($D$10:$D$69,D21)+(1000-ROW())/100000,""))</f>
        <v/>
      </c>
    </row>
    <row r="22">
      <c r="B22" s="20" t="inlineStr">
        <is>
          <t>LIB-015</t>
        </is>
      </c>
      <c r="C22" s="11">
        <f>IF(B22="","",IFERROR(INDEX(Libros!$C$6:$C$45,MATCH(B22,Libros!$B$6:$B$45,0)),"¿Código?"))</f>
        <v/>
      </c>
      <c r="D22" s="21" t="inlineStr">
        <is>
          <t>Valeria P.</t>
        </is>
      </c>
      <c r="E22" s="25" t="n">
        <v>46285</v>
      </c>
      <c r="F22" s="14">
        <f>IF(E22="","",E22+$D$6)</f>
        <v/>
      </c>
      <c r="G22" s="25" t="n">
        <v>46296</v>
      </c>
      <c r="H22" s="22">
        <f>IF(OR(B22="",E22=""),"",IF(G22&lt;&gt;"",IF(G22&gt;F22,"Devuelto con retraso","Devuelto"),IF($D$5&gt;F22,"Retrasado",IF(F22-$D$5&lt;=$D$7,"Vence pronto","En préstamo"))))</f>
        <v/>
      </c>
      <c r="I22" s="16">
        <f>IF(OR(B22="",E22=""),"",IF(G22&lt;&gt;"",MAX(0,G22-F22),MAX(0,$D$5-F22)))</f>
        <v/>
      </c>
      <c r="J22" s="11">
        <f>IF(H22="Retrasado","AVISAR a "&amp;D22&amp;": «"&amp;C22&amp;"» lleva "&amp;I22&amp;" días de retraso",IF(H22="Vence pronto","Recordar a "&amp;D22&amp;" la devolución el "&amp;DAY(F22)&amp;"/"&amp;MONTH(F22),""))</f>
        <v/>
      </c>
      <c r="K22" s="21" t="inlineStr"/>
      <c r="L22" s="22">
        <f>IF(B22="","",IF(ISNA(MATCH(B22,Libros!$B$6:$B$45,0)),"Código no existe",IF(D22="","Falta el alumno",IF(E22="","Falta fecha de salida",IF(AND(G22&lt;&gt;"",G22&lt;E22),"Devolución anterior a salida",IF(AND(G22="",SUMPRODUCT(($B$10:$B$69=B22)*($E$10:$E$69&lt;&gt;"")*($G$10:$G$69=""))&gt;1),"Libro ya prestado","OK"))))))</f>
        <v/>
      </c>
      <c r="M22" s="27">
        <f>IF(AND(B22&lt;&gt;"",E22&lt;&gt;"",G22=""),B22,"")</f>
        <v/>
      </c>
      <c r="N22" s="23">
        <f>IF(H22="Retrasado",I22+(1000-ROW())/100000,"")</f>
        <v/>
      </c>
      <c r="O22" s="23">
        <f>IF(OR(D22="",E22=""),"",IF(COUNTIF($D$10:D22,D22)=1,COUNTIF($D$10:$D$69,D22)+(1000-ROW())/100000,""))</f>
        <v/>
      </c>
    </row>
    <row r="23">
      <c r="B23" s="20" t="inlineStr">
        <is>
          <t>LIB-007</t>
        </is>
      </c>
      <c r="C23" s="11">
        <f>IF(B23="","",IFERROR(INDEX(Libros!$C$6:$C$45,MATCH(B23,Libros!$B$6:$B$45,0)),"¿Código?"))</f>
        <v/>
      </c>
      <c r="D23" s="21" t="inlineStr">
        <is>
          <t>Martina V.</t>
        </is>
      </c>
      <c r="E23" s="25" t="n">
        <v>46286</v>
      </c>
      <c r="F23" s="14">
        <f>IF(E23="","",E23+$D$6)</f>
        <v/>
      </c>
      <c r="G23" s="25" t="n"/>
      <c r="H23" s="22">
        <f>IF(OR(B23="",E23=""),"",IF(G23&lt;&gt;"",IF(G23&gt;F23,"Devuelto con retraso","Devuelto"),IF($D$5&gt;F23,"Retrasado",IF(F23-$D$5&lt;=$D$7,"Vence pronto","En préstamo"))))</f>
        <v/>
      </c>
      <c r="I23" s="16">
        <f>IF(OR(B23="",E23=""),"",IF(G23&lt;&gt;"",MAX(0,G23-F23),MAX(0,$D$5-F23)))</f>
        <v/>
      </c>
      <c r="J23" s="11">
        <f>IF(H23="Retrasado","AVISAR a "&amp;D23&amp;": «"&amp;C23&amp;"» lleva "&amp;I23&amp;" días de retraso",IF(H23="Vence pronto","Recordar a "&amp;D23&amp;" la devolución el "&amp;DAY(F23)&amp;"/"&amp;MONTH(F23),""))</f>
        <v/>
      </c>
      <c r="K23" s="21" t="inlineStr"/>
      <c r="L23" s="22">
        <f>IF(B23="","",IF(ISNA(MATCH(B23,Libros!$B$6:$B$45,0)),"Código no existe",IF(D23="","Falta el alumno",IF(E23="","Falta fecha de salida",IF(AND(G23&lt;&gt;"",G23&lt;E23),"Devolución anterior a salida",IF(AND(G23="",SUMPRODUCT(($B$10:$B$69=B23)*($E$10:$E$69&lt;&gt;"")*($G$10:$G$69=""))&gt;1),"Libro ya prestado","OK"))))))</f>
        <v/>
      </c>
      <c r="M23" s="27">
        <f>IF(AND(B23&lt;&gt;"",E23&lt;&gt;"",G23=""),B23,"")</f>
        <v/>
      </c>
      <c r="N23" s="23">
        <f>IF(H23="Retrasado",I23+(1000-ROW())/100000,"")</f>
        <v/>
      </c>
      <c r="O23" s="23">
        <f>IF(OR(D23="",E23=""),"",IF(COUNTIF($D$10:D23,D23)=1,COUNTIF($D$10:$D$69,D23)+(1000-ROW())/100000,""))</f>
        <v/>
      </c>
    </row>
    <row r="24">
      <c r="B24" s="20" t="inlineStr">
        <is>
          <t>LIB-006</t>
        </is>
      </c>
      <c r="C24" s="11">
        <f>IF(B24="","",IFERROR(INDEX(Libros!$C$6:$C$45,MATCH(B24,Libros!$B$6:$B$45,0)),"¿Código?"))</f>
        <v/>
      </c>
      <c r="D24" s="21" t="inlineStr">
        <is>
          <t>Daniel C.</t>
        </is>
      </c>
      <c r="E24" s="25" t="n">
        <v>46288</v>
      </c>
      <c r="F24" s="14">
        <f>IF(E24="","",E24+$D$6)</f>
        <v/>
      </c>
      <c r="G24" s="25" t="n"/>
      <c r="H24" s="22">
        <f>IF(OR(B24="",E24=""),"",IF(G24&lt;&gt;"",IF(G24&gt;F24,"Devuelto con retraso","Devuelto"),IF($D$5&gt;F24,"Retrasado",IF(F24-$D$5&lt;=$D$7,"Vence pronto","En préstamo"))))</f>
        <v/>
      </c>
      <c r="I24" s="16">
        <f>IF(OR(B24="",E24=""),"",IF(G24&lt;&gt;"",MAX(0,G24-F24),MAX(0,$D$5-F24)))</f>
        <v/>
      </c>
      <c r="J24" s="11">
        <f>IF(H24="Retrasado","AVISAR a "&amp;D24&amp;": «"&amp;C24&amp;"» lleva "&amp;I24&amp;" días de retraso",IF(H24="Vence pronto","Recordar a "&amp;D24&amp;" la devolución el "&amp;DAY(F24)&amp;"/"&amp;MONTH(F24),""))</f>
        <v/>
      </c>
      <c r="K24" s="21" t="inlineStr"/>
      <c r="L24" s="22">
        <f>IF(B24="","",IF(ISNA(MATCH(B24,Libros!$B$6:$B$45,0)),"Código no existe",IF(D24="","Falta el alumno",IF(E24="","Falta fecha de salida",IF(AND(G24&lt;&gt;"",G24&lt;E24),"Devolución anterior a salida",IF(AND(G24="",SUMPRODUCT(($B$10:$B$69=B24)*($E$10:$E$69&lt;&gt;"")*($G$10:$G$69=""))&gt;1),"Libro ya prestado","OK"))))))</f>
        <v/>
      </c>
      <c r="M24" s="27">
        <f>IF(AND(B24&lt;&gt;"",E24&lt;&gt;"",G24=""),B24,"")</f>
        <v/>
      </c>
      <c r="N24" s="23">
        <f>IF(H24="Retrasado",I24+(1000-ROW())/100000,"")</f>
        <v/>
      </c>
      <c r="O24" s="23">
        <f>IF(OR(D24="",E24=""),"",IF(COUNTIF($D$10:D24,D24)=1,COUNTIF($D$10:$D$69,D24)+(1000-ROW())/100000,""))</f>
        <v/>
      </c>
    </row>
    <row r="25">
      <c r="B25" s="20" t="inlineStr">
        <is>
          <t>LIB-009</t>
        </is>
      </c>
      <c r="C25" s="11">
        <f>IF(B25="","",IFERROR(INDEX(Libros!$C$6:$C$45,MATCH(B25,Libros!$B$6:$B$45,0)),"¿Código?"))</f>
        <v/>
      </c>
      <c r="D25" s="21" t="inlineStr">
        <is>
          <t>Carla N.</t>
        </is>
      </c>
      <c r="E25" s="25" t="n">
        <v>46290</v>
      </c>
      <c r="F25" s="14">
        <f>IF(E25="","",E25+$D$6)</f>
        <v/>
      </c>
      <c r="G25" s="25" t="n"/>
      <c r="H25" s="22">
        <f>IF(OR(B25="",E25=""),"",IF(G25&lt;&gt;"",IF(G25&gt;F25,"Devuelto con retraso","Devuelto"),IF($D$5&gt;F25,"Retrasado",IF(F25-$D$5&lt;=$D$7,"Vence pronto","En préstamo"))))</f>
        <v/>
      </c>
      <c r="I25" s="16">
        <f>IF(OR(B25="",E25=""),"",IF(G25&lt;&gt;"",MAX(0,G25-F25),MAX(0,$D$5-F25)))</f>
        <v/>
      </c>
      <c r="J25" s="11">
        <f>IF(H25="Retrasado","AVISAR a "&amp;D25&amp;": «"&amp;C25&amp;"» lleva "&amp;I25&amp;" días de retraso",IF(H25="Vence pronto","Recordar a "&amp;D25&amp;" la devolución el "&amp;DAY(F25)&amp;"/"&amp;MONTH(F25),""))</f>
        <v/>
      </c>
      <c r="K25" s="21" t="inlineStr"/>
      <c r="L25" s="22">
        <f>IF(B25="","",IF(ISNA(MATCH(B25,Libros!$B$6:$B$45,0)),"Código no existe",IF(D25="","Falta el alumno",IF(E25="","Falta fecha de salida",IF(AND(G25&lt;&gt;"",G25&lt;E25),"Devolución anterior a salida",IF(AND(G25="",SUMPRODUCT(($B$10:$B$69=B25)*($E$10:$E$69&lt;&gt;"")*($G$10:$G$69=""))&gt;1),"Libro ya prestado","OK"))))))</f>
        <v/>
      </c>
      <c r="M25" s="27">
        <f>IF(AND(B25&lt;&gt;"",E25&lt;&gt;"",G25=""),B25,"")</f>
        <v/>
      </c>
      <c r="N25" s="23">
        <f>IF(H25="Retrasado",I25+(1000-ROW())/100000,"")</f>
        <v/>
      </c>
      <c r="O25" s="23">
        <f>IF(OR(D25="",E25=""),"",IF(COUNTIF($D$10:D25,D25)=1,COUNTIF($D$10:$D$69,D25)+(1000-ROW())/100000,""))</f>
        <v/>
      </c>
    </row>
    <row r="26">
      <c r="B26" s="20" t="inlineStr">
        <is>
          <t>LIB-013</t>
        </is>
      </c>
      <c r="C26" s="11">
        <f>IF(B26="","",IFERROR(INDEX(Libros!$C$6:$C$45,MATCH(B26,Libros!$B$6:$B$45,0)),"¿Código?"))</f>
        <v/>
      </c>
      <c r="D26" s="21" t="inlineStr">
        <is>
          <t>Lucía M.</t>
        </is>
      </c>
      <c r="E26" s="25" t="n">
        <v>46293</v>
      </c>
      <c r="F26" s="14">
        <f>IF(E26="","",E26+$D$6)</f>
        <v/>
      </c>
      <c r="G26" s="25" t="n">
        <v>46297</v>
      </c>
      <c r="H26" s="22">
        <f>IF(OR(B26="",E26=""),"",IF(G26&lt;&gt;"",IF(G26&gt;F26,"Devuelto con retraso","Devuelto"),IF($D$5&gt;F26,"Retrasado",IF(F26-$D$5&lt;=$D$7,"Vence pronto","En préstamo"))))</f>
        <v/>
      </c>
      <c r="I26" s="16">
        <f>IF(OR(B26="",E26=""),"",IF(G26&lt;&gt;"",MAX(0,G26-F26),MAX(0,$D$5-F26)))</f>
        <v/>
      </c>
      <c r="J26" s="11">
        <f>IF(H26="Retrasado","AVISAR a "&amp;D26&amp;": «"&amp;C26&amp;"» lleva "&amp;I26&amp;" días de retraso",IF(H26="Vence pronto","Recordar a "&amp;D26&amp;" la devolución el "&amp;DAY(F26)&amp;"/"&amp;MONTH(F26),""))</f>
        <v/>
      </c>
      <c r="K26" s="21" t="inlineStr"/>
      <c r="L26" s="22">
        <f>IF(B26="","",IF(ISNA(MATCH(B26,Libros!$B$6:$B$45,0)),"Código no existe",IF(D26="","Falta el alumno",IF(E26="","Falta fecha de salida",IF(AND(G26&lt;&gt;"",G26&lt;E26),"Devolución anterior a salida",IF(AND(G26="",SUMPRODUCT(($B$10:$B$69=B26)*($E$10:$E$69&lt;&gt;"")*($G$10:$G$69=""))&gt;1),"Libro ya prestado","OK"))))))</f>
        <v/>
      </c>
      <c r="M26" s="27">
        <f>IF(AND(B26&lt;&gt;"",E26&lt;&gt;"",G26=""),B26,"")</f>
        <v/>
      </c>
      <c r="N26" s="23">
        <f>IF(H26="Retrasado",I26+(1000-ROW())/100000,"")</f>
        <v/>
      </c>
      <c r="O26" s="23">
        <f>IF(OR(D26="",E26=""),"",IF(COUNTIF($D$10:D26,D26)=1,COUNTIF($D$10:$D$69,D26)+(1000-ROW())/100000,""))</f>
        <v/>
      </c>
    </row>
    <row r="27">
      <c r="B27" s="20" t="inlineStr">
        <is>
          <t>LIB-001</t>
        </is>
      </c>
      <c r="C27" s="11">
        <f>IF(B27="","",IFERROR(INDEX(Libros!$C$6:$C$45,MATCH(B27,Libros!$B$6:$B$45,0)),"¿Código?"))</f>
        <v/>
      </c>
      <c r="D27" s="21" t="inlineStr">
        <is>
          <t>Pablo R.</t>
        </is>
      </c>
      <c r="E27" s="25" t="n">
        <v>46293</v>
      </c>
      <c r="F27" s="14">
        <f>IF(E27="","",E27+$D$6)</f>
        <v/>
      </c>
      <c r="G27" s="25" t="n"/>
      <c r="H27" s="22">
        <f>IF(OR(B27="",E27=""),"",IF(G27&lt;&gt;"",IF(G27&gt;F27,"Devuelto con retraso","Devuelto"),IF($D$5&gt;F27,"Retrasado",IF(F27-$D$5&lt;=$D$7,"Vence pronto","En préstamo"))))</f>
        <v/>
      </c>
      <c r="I27" s="16">
        <f>IF(OR(B27="",E27=""),"",IF(G27&lt;&gt;"",MAX(0,G27-F27),MAX(0,$D$5-F27)))</f>
        <v/>
      </c>
      <c r="J27" s="11">
        <f>IF(H27="Retrasado","AVISAR a "&amp;D27&amp;": «"&amp;C27&amp;"» lleva "&amp;I27&amp;" días de retraso",IF(H27="Vence pronto","Recordar a "&amp;D27&amp;" la devolución el "&amp;DAY(F27)&amp;"/"&amp;MONTH(F27),""))</f>
        <v/>
      </c>
      <c r="K27" s="21" t="inlineStr"/>
      <c r="L27" s="22">
        <f>IF(B27="","",IF(ISNA(MATCH(B27,Libros!$B$6:$B$45,0)),"Código no existe",IF(D27="","Falta el alumno",IF(E27="","Falta fecha de salida",IF(AND(G27&lt;&gt;"",G27&lt;E27),"Devolución anterior a salida",IF(AND(G27="",SUMPRODUCT(($B$10:$B$69=B27)*($E$10:$E$69&lt;&gt;"")*($G$10:$G$69=""))&gt;1),"Libro ya prestado","OK"))))))</f>
        <v/>
      </c>
      <c r="M27" s="27">
        <f>IF(AND(B27&lt;&gt;"",E27&lt;&gt;"",G27=""),B27,"")</f>
        <v/>
      </c>
      <c r="N27" s="23">
        <f>IF(H27="Retrasado",I27+(1000-ROW())/100000,"")</f>
        <v/>
      </c>
      <c r="O27" s="23">
        <f>IF(OR(D27="",E27=""),"",IF(COUNTIF($D$10:D27,D27)=1,COUNTIF($D$10:$D$69,D27)+(1000-ROW())/100000,""))</f>
        <v/>
      </c>
    </row>
    <row r="28">
      <c r="B28" s="20" t="inlineStr">
        <is>
          <t>LIB-005</t>
        </is>
      </c>
      <c r="C28" s="11">
        <f>IF(B28="","",IFERROR(INDEX(Libros!$C$6:$C$45,MATCH(B28,Libros!$B$6:$B$45,0)),"¿Código?"))</f>
        <v/>
      </c>
      <c r="D28" s="21" t="inlineStr">
        <is>
          <t>Valeria P.</t>
        </is>
      </c>
      <c r="E28" s="25" t="n">
        <v>46296</v>
      </c>
      <c r="F28" s="14">
        <f>IF(E28="","",E28+$D$6)</f>
        <v/>
      </c>
      <c r="G28" s="25" t="n"/>
      <c r="H28" s="22">
        <f>IF(OR(B28="",E28=""),"",IF(G28&lt;&gt;"",IF(G28&gt;F28,"Devuelto con retraso","Devuelto"),IF($D$5&gt;F28,"Retrasado",IF(F28-$D$5&lt;=$D$7,"Vence pronto","En préstamo"))))</f>
        <v/>
      </c>
      <c r="I28" s="16">
        <f>IF(OR(B28="",E28=""),"",IF(G28&lt;&gt;"",MAX(0,G28-F28),MAX(0,$D$5-F28)))</f>
        <v/>
      </c>
      <c r="J28" s="11">
        <f>IF(H28="Retrasado","AVISAR a "&amp;D28&amp;": «"&amp;C28&amp;"» lleva "&amp;I28&amp;" días de retraso",IF(H28="Vence pronto","Recordar a "&amp;D28&amp;" la devolución el "&amp;DAY(F28)&amp;"/"&amp;MONTH(F28),""))</f>
        <v/>
      </c>
      <c r="K28" s="21" t="inlineStr"/>
      <c r="L28" s="22">
        <f>IF(B28="","",IF(ISNA(MATCH(B28,Libros!$B$6:$B$45,0)),"Código no existe",IF(D28="","Falta el alumno",IF(E28="","Falta fecha de salida",IF(AND(G28&lt;&gt;"",G28&lt;E28),"Devolución anterior a salida",IF(AND(G28="",SUMPRODUCT(($B$10:$B$69=B28)*($E$10:$E$69&lt;&gt;"")*($G$10:$G$69=""))&gt;1),"Libro ya prestado","OK"))))))</f>
        <v/>
      </c>
      <c r="M28" s="27">
        <f>IF(AND(B28&lt;&gt;"",E28&lt;&gt;"",G28=""),B28,"")</f>
        <v/>
      </c>
      <c r="N28" s="23">
        <f>IF(H28="Retrasado",I28+(1000-ROW())/100000,"")</f>
        <v/>
      </c>
      <c r="O28" s="23">
        <f>IF(OR(D28="",E28=""),"",IF(COUNTIF($D$10:D28,D28)=1,COUNTIF($D$10:$D$69,D28)+(1000-ROW())/100000,""))</f>
        <v/>
      </c>
    </row>
    <row r="29">
      <c r="B29" s="20" t="n"/>
      <c r="C29" s="11">
        <f>IF(B29="","",IFERROR(INDEX(Libros!$C$6:$C$45,MATCH(B29,Libros!$B$6:$B$45,0)),"¿Código?"))</f>
        <v/>
      </c>
      <c r="D29" s="21" t="n"/>
      <c r="E29" s="25" t="n"/>
      <c r="F29" s="14">
        <f>IF(E29="","",E29+$D$6)</f>
        <v/>
      </c>
      <c r="G29" s="25" t="n"/>
      <c r="H29" s="22">
        <f>IF(OR(B29="",E29=""),"",IF(G29&lt;&gt;"",IF(G29&gt;F29,"Devuelto con retraso","Devuelto"),IF($D$5&gt;F29,"Retrasado",IF(F29-$D$5&lt;=$D$7,"Vence pronto","En préstamo"))))</f>
        <v/>
      </c>
      <c r="I29" s="16">
        <f>IF(OR(B29="",E29=""),"",IF(G29&lt;&gt;"",MAX(0,G29-F29),MAX(0,$D$5-F29)))</f>
        <v/>
      </c>
      <c r="J29" s="11">
        <f>IF(H29="Retrasado","AVISAR a "&amp;D29&amp;": «"&amp;C29&amp;"» lleva "&amp;I29&amp;" días de retraso",IF(H29="Vence pronto","Recordar a "&amp;D29&amp;" la devolución el "&amp;DAY(F29)&amp;"/"&amp;MONTH(F29),""))</f>
        <v/>
      </c>
      <c r="K29" s="21" t="n"/>
      <c r="L29" s="22">
        <f>IF(B29="","",IF(ISNA(MATCH(B29,Libros!$B$6:$B$45,0)),"Código no existe",IF(D29="","Falta el alumno",IF(E29="","Falta fecha de salida",IF(AND(G29&lt;&gt;"",G29&lt;E29),"Devolución anterior a salida",IF(AND(G29="",SUMPRODUCT(($B$10:$B$69=B29)*($E$10:$E$69&lt;&gt;"")*($G$10:$G$69=""))&gt;1),"Libro ya prestado","OK"))))))</f>
        <v/>
      </c>
      <c r="M29" s="27">
        <f>IF(AND(B29&lt;&gt;"",E29&lt;&gt;"",G29=""),B29,"")</f>
        <v/>
      </c>
      <c r="N29" s="23">
        <f>IF(H29="Retrasado",I29+(1000-ROW())/100000,"")</f>
        <v/>
      </c>
      <c r="O29" s="23">
        <f>IF(OR(D29="",E29=""),"",IF(COUNTIF($D$10:D29,D29)=1,COUNTIF($D$10:$D$69,D29)+(1000-ROW())/100000,""))</f>
        <v/>
      </c>
    </row>
    <row r="30">
      <c r="B30" s="20" t="n"/>
      <c r="C30" s="11">
        <f>IF(B30="","",IFERROR(INDEX(Libros!$C$6:$C$45,MATCH(B30,Libros!$B$6:$B$45,0)),"¿Código?"))</f>
        <v/>
      </c>
      <c r="D30" s="21" t="n"/>
      <c r="E30" s="25" t="n"/>
      <c r="F30" s="14">
        <f>IF(E30="","",E30+$D$6)</f>
        <v/>
      </c>
      <c r="G30" s="25" t="n"/>
      <c r="H30" s="22">
        <f>IF(OR(B30="",E30=""),"",IF(G30&lt;&gt;"",IF(G30&gt;F30,"Devuelto con retraso","Devuelto"),IF($D$5&gt;F30,"Retrasado",IF(F30-$D$5&lt;=$D$7,"Vence pronto","En préstamo"))))</f>
        <v/>
      </c>
      <c r="I30" s="16">
        <f>IF(OR(B30="",E30=""),"",IF(G30&lt;&gt;"",MAX(0,G30-F30),MAX(0,$D$5-F30)))</f>
        <v/>
      </c>
      <c r="J30" s="11">
        <f>IF(H30="Retrasado","AVISAR a "&amp;D30&amp;": «"&amp;C30&amp;"» lleva "&amp;I30&amp;" días de retraso",IF(H30="Vence pronto","Recordar a "&amp;D30&amp;" la devolución el "&amp;DAY(F30)&amp;"/"&amp;MONTH(F30),""))</f>
        <v/>
      </c>
      <c r="K30" s="21" t="n"/>
      <c r="L30" s="22">
        <f>IF(B30="","",IF(ISNA(MATCH(B30,Libros!$B$6:$B$45,0)),"Código no existe",IF(D30="","Falta el alumno",IF(E30="","Falta fecha de salida",IF(AND(G30&lt;&gt;"",G30&lt;E30),"Devolución anterior a salida",IF(AND(G30="",SUMPRODUCT(($B$10:$B$69=B30)*($E$10:$E$69&lt;&gt;"")*($G$10:$G$69=""))&gt;1),"Libro ya prestado","OK"))))))</f>
        <v/>
      </c>
      <c r="M30" s="27">
        <f>IF(AND(B30&lt;&gt;"",E30&lt;&gt;"",G30=""),B30,"")</f>
        <v/>
      </c>
      <c r="N30" s="23">
        <f>IF(H30="Retrasado",I30+(1000-ROW())/100000,"")</f>
        <v/>
      </c>
      <c r="O30" s="23">
        <f>IF(OR(D30="",E30=""),"",IF(COUNTIF($D$10:D30,D30)=1,COUNTIF($D$10:$D$69,D30)+(1000-ROW())/100000,""))</f>
        <v/>
      </c>
    </row>
    <row r="31">
      <c r="B31" s="20" t="n"/>
      <c r="C31" s="11">
        <f>IF(B31="","",IFERROR(INDEX(Libros!$C$6:$C$45,MATCH(B31,Libros!$B$6:$B$45,0)),"¿Código?"))</f>
        <v/>
      </c>
      <c r="D31" s="21" t="n"/>
      <c r="E31" s="25" t="n"/>
      <c r="F31" s="14">
        <f>IF(E31="","",E31+$D$6)</f>
        <v/>
      </c>
      <c r="G31" s="25" t="n"/>
      <c r="H31" s="22">
        <f>IF(OR(B31="",E31=""),"",IF(G31&lt;&gt;"",IF(G31&gt;F31,"Devuelto con retraso","Devuelto"),IF($D$5&gt;F31,"Retrasado",IF(F31-$D$5&lt;=$D$7,"Vence pronto","En préstamo"))))</f>
        <v/>
      </c>
      <c r="I31" s="16">
        <f>IF(OR(B31="",E31=""),"",IF(G31&lt;&gt;"",MAX(0,G31-F31),MAX(0,$D$5-F31)))</f>
        <v/>
      </c>
      <c r="J31" s="11">
        <f>IF(H31="Retrasado","AVISAR a "&amp;D31&amp;": «"&amp;C31&amp;"» lleva "&amp;I31&amp;" días de retraso",IF(H31="Vence pronto","Recordar a "&amp;D31&amp;" la devolución el "&amp;DAY(F31)&amp;"/"&amp;MONTH(F31),""))</f>
        <v/>
      </c>
      <c r="K31" s="21" t="n"/>
      <c r="L31" s="22">
        <f>IF(B31="","",IF(ISNA(MATCH(B31,Libros!$B$6:$B$45,0)),"Código no existe",IF(D31="","Falta el alumno",IF(E31="","Falta fecha de salida",IF(AND(G31&lt;&gt;"",G31&lt;E31),"Devolución anterior a salida",IF(AND(G31="",SUMPRODUCT(($B$10:$B$69=B31)*($E$10:$E$69&lt;&gt;"")*($G$10:$G$69=""))&gt;1),"Libro ya prestado","OK"))))))</f>
        <v/>
      </c>
      <c r="M31" s="27">
        <f>IF(AND(B31&lt;&gt;"",E31&lt;&gt;"",G31=""),B31,"")</f>
        <v/>
      </c>
      <c r="N31" s="23">
        <f>IF(H31="Retrasado",I31+(1000-ROW())/100000,"")</f>
        <v/>
      </c>
      <c r="O31" s="23">
        <f>IF(OR(D31="",E31=""),"",IF(COUNTIF($D$10:D31,D31)=1,COUNTIF($D$10:$D$69,D31)+(1000-ROW())/100000,""))</f>
        <v/>
      </c>
    </row>
    <row r="32">
      <c r="B32" s="20" t="n"/>
      <c r="C32" s="11">
        <f>IF(B32="","",IFERROR(INDEX(Libros!$C$6:$C$45,MATCH(B32,Libros!$B$6:$B$45,0)),"¿Código?"))</f>
        <v/>
      </c>
      <c r="D32" s="21" t="n"/>
      <c r="E32" s="25" t="n"/>
      <c r="F32" s="14">
        <f>IF(E32="","",E32+$D$6)</f>
        <v/>
      </c>
      <c r="G32" s="25" t="n"/>
      <c r="H32" s="22">
        <f>IF(OR(B32="",E32=""),"",IF(G32&lt;&gt;"",IF(G32&gt;F32,"Devuelto con retraso","Devuelto"),IF($D$5&gt;F32,"Retrasado",IF(F32-$D$5&lt;=$D$7,"Vence pronto","En préstamo"))))</f>
        <v/>
      </c>
      <c r="I32" s="16">
        <f>IF(OR(B32="",E32=""),"",IF(G32&lt;&gt;"",MAX(0,G32-F32),MAX(0,$D$5-F32)))</f>
        <v/>
      </c>
      <c r="J32" s="11">
        <f>IF(H32="Retrasado","AVISAR a "&amp;D32&amp;": «"&amp;C32&amp;"» lleva "&amp;I32&amp;" días de retraso",IF(H32="Vence pronto","Recordar a "&amp;D32&amp;" la devolución el "&amp;DAY(F32)&amp;"/"&amp;MONTH(F32),""))</f>
        <v/>
      </c>
      <c r="K32" s="21" t="n"/>
      <c r="L32" s="22">
        <f>IF(B32="","",IF(ISNA(MATCH(B32,Libros!$B$6:$B$45,0)),"Código no existe",IF(D32="","Falta el alumno",IF(E32="","Falta fecha de salida",IF(AND(G32&lt;&gt;"",G32&lt;E32),"Devolución anterior a salida",IF(AND(G32="",SUMPRODUCT(($B$10:$B$69=B32)*($E$10:$E$69&lt;&gt;"")*($G$10:$G$69=""))&gt;1),"Libro ya prestado","OK"))))))</f>
        <v/>
      </c>
      <c r="M32" s="27">
        <f>IF(AND(B32&lt;&gt;"",E32&lt;&gt;"",G32=""),B32,"")</f>
        <v/>
      </c>
      <c r="N32" s="23">
        <f>IF(H32="Retrasado",I32+(1000-ROW())/100000,"")</f>
        <v/>
      </c>
      <c r="O32" s="23">
        <f>IF(OR(D32="",E32=""),"",IF(COUNTIF($D$10:D32,D32)=1,COUNTIF($D$10:$D$69,D32)+(1000-ROW())/100000,""))</f>
        <v/>
      </c>
    </row>
    <row r="33">
      <c r="B33" s="20" t="n"/>
      <c r="C33" s="11">
        <f>IF(B33="","",IFERROR(INDEX(Libros!$C$6:$C$45,MATCH(B33,Libros!$B$6:$B$45,0)),"¿Código?"))</f>
        <v/>
      </c>
      <c r="D33" s="21" t="n"/>
      <c r="E33" s="25" t="n"/>
      <c r="F33" s="14">
        <f>IF(E33="","",E33+$D$6)</f>
        <v/>
      </c>
      <c r="G33" s="25" t="n"/>
      <c r="H33" s="22">
        <f>IF(OR(B33="",E33=""),"",IF(G33&lt;&gt;"",IF(G33&gt;F33,"Devuelto con retraso","Devuelto"),IF($D$5&gt;F33,"Retrasado",IF(F33-$D$5&lt;=$D$7,"Vence pronto","En préstamo"))))</f>
        <v/>
      </c>
      <c r="I33" s="16">
        <f>IF(OR(B33="",E33=""),"",IF(G33&lt;&gt;"",MAX(0,G33-F33),MAX(0,$D$5-F33)))</f>
        <v/>
      </c>
      <c r="J33" s="11">
        <f>IF(H33="Retrasado","AVISAR a "&amp;D33&amp;": «"&amp;C33&amp;"» lleva "&amp;I33&amp;" días de retraso",IF(H33="Vence pronto","Recordar a "&amp;D33&amp;" la devolución el "&amp;DAY(F33)&amp;"/"&amp;MONTH(F33),""))</f>
        <v/>
      </c>
      <c r="K33" s="21" t="n"/>
      <c r="L33" s="22">
        <f>IF(B33="","",IF(ISNA(MATCH(B33,Libros!$B$6:$B$45,0)),"Código no existe",IF(D33="","Falta el alumno",IF(E33="","Falta fecha de salida",IF(AND(G33&lt;&gt;"",G33&lt;E33),"Devolución anterior a salida",IF(AND(G33="",SUMPRODUCT(($B$10:$B$69=B33)*($E$10:$E$69&lt;&gt;"")*($G$10:$G$69=""))&gt;1),"Libro ya prestado","OK"))))))</f>
        <v/>
      </c>
      <c r="M33" s="27">
        <f>IF(AND(B33&lt;&gt;"",E33&lt;&gt;"",G33=""),B33,"")</f>
        <v/>
      </c>
      <c r="N33" s="23">
        <f>IF(H33="Retrasado",I33+(1000-ROW())/100000,"")</f>
        <v/>
      </c>
      <c r="O33" s="23">
        <f>IF(OR(D33="",E33=""),"",IF(COUNTIF($D$10:D33,D33)=1,COUNTIF($D$10:$D$69,D33)+(1000-ROW())/100000,""))</f>
        <v/>
      </c>
    </row>
    <row r="34">
      <c r="B34" s="20" t="n"/>
      <c r="C34" s="11">
        <f>IF(B34="","",IFERROR(INDEX(Libros!$C$6:$C$45,MATCH(B34,Libros!$B$6:$B$45,0)),"¿Código?"))</f>
        <v/>
      </c>
      <c r="D34" s="21" t="n"/>
      <c r="E34" s="25" t="n"/>
      <c r="F34" s="14">
        <f>IF(E34="","",E34+$D$6)</f>
        <v/>
      </c>
      <c r="G34" s="25" t="n"/>
      <c r="H34" s="22">
        <f>IF(OR(B34="",E34=""),"",IF(G34&lt;&gt;"",IF(G34&gt;F34,"Devuelto con retraso","Devuelto"),IF($D$5&gt;F34,"Retrasado",IF(F34-$D$5&lt;=$D$7,"Vence pronto","En préstamo"))))</f>
        <v/>
      </c>
      <c r="I34" s="16">
        <f>IF(OR(B34="",E34=""),"",IF(G34&lt;&gt;"",MAX(0,G34-F34),MAX(0,$D$5-F34)))</f>
        <v/>
      </c>
      <c r="J34" s="11">
        <f>IF(H34="Retrasado","AVISAR a "&amp;D34&amp;": «"&amp;C34&amp;"» lleva "&amp;I34&amp;" días de retraso",IF(H34="Vence pronto","Recordar a "&amp;D34&amp;" la devolución el "&amp;DAY(F34)&amp;"/"&amp;MONTH(F34),""))</f>
        <v/>
      </c>
      <c r="K34" s="21" t="n"/>
      <c r="L34" s="22">
        <f>IF(B34="","",IF(ISNA(MATCH(B34,Libros!$B$6:$B$45,0)),"Código no existe",IF(D34="","Falta el alumno",IF(E34="","Falta fecha de salida",IF(AND(G34&lt;&gt;"",G34&lt;E34),"Devolución anterior a salida",IF(AND(G34="",SUMPRODUCT(($B$10:$B$69=B34)*($E$10:$E$69&lt;&gt;"")*($G$10:$G$69=""))&gt;1),"Libro ya prestado","OK"))))))</f>
        <v/>
      </c>
      <c r="M34" s="27">
        <f>IF(AND(B34&lt;&gt;"",E34&lt;&gt;"",G34=""),B34,"")</f>
        <v/>
      </c>
      <c r="N34" s="23">
        <f>IF(H34="Retrasado",I34+(1000-ROW())/100000,"")</f>
        <v/>
      </c>
      <c r="O34" s="23">
        <f>IF(OR(D34="",E34=""),"",IF(COUNTIF($D$10:D34,D34)=1,COUNTIF($D$10:$D$69,D34)+(1000-ROW())/100000,""))</f>
        <v/>
      </c>
    </row>
    <row r="35">
      <c r="B35" s="20" t="n"/>
      <c r="C35" s="11">
        <f>IF(B35="","",IFERROR(INDEX(Libros!$C$6:$C$45,MATCH(B35,Libros!$B$6:$B$45,0)),"¿Código?"))</f>
        <v/>
      </c>
      <c r="D35" s="21" t="n"/>
      <c r="E35" s="25" t="n"/>
      <c r="F35" s="14">
        <f>IF(E35="","",E35+$D$6)</f>
        <v/>
      </c>
      <c r="G35" s="25" t="n"/>
      <c r="H35" s="22">
        <f>IF(OR(B35="",E35=""),"",IF(G35&lt;&gt;"",IF(G35&gt;F35,"Devuelto con retraso","Devuelto"),IF($D$5&gt;F35,"Retrasado",IF(F35-$D$5&lt;=$D$7,"Vence pronto","En préstamo"))))</f>
        <v/>
      </c>
      <c r="I35" s="16">
        <f>IF(OR(B35="",E35=""),"",IF(G35&lt;&gt;"",MAX(0,G35-F35),MAX(0,$D$5-F35)))</f>
        <v/>
      </c>
      <c r="J35" s="11">
        <f>IF(H35="Retrasado","AVISAR a "&amp;D35&amp;": «"&amp;C35&amp;"» lleva "&amp;I35&amp;" días de retraso",IF(H35="Vence pronto","Recordar a "&amp;D35&amp;" la devolución el "&amp;DAY(F35)&amp;"/"&amp;MONTH(F35),""))</f>
        <v/>
      </c>
      <c r="K35" s="21" t="n"/>
      <c r="L35" s="22">
        <f>IF(B35="","",IF(ISNA(MATCH(B35,Libros!$B$6:$B$45,0)),"Código no existe",IF(D35="","Falta el alumno",IF(E35="","Falta fecha de salida",IF(AND(G35&lt;&gt;"",G35&lt;E35),"Devolución anterior a salida",IF(AND(G35="",SUMPRODUCT(($B$10:$B$69=B35)*($E$10:$E$69&lt;&gt;"")*($G$10:$G$69=""))&gt;1),"Libro ya prestado","OK"))))))</f>
        <v/>
      </c>
      <c r="M35" s="27">
        <f>IF(AND(B35&lt;&gt;"",E35&lt;&gt;"",G35=""),B35,"")</f>
        <v/>
      </c>
      <c r="N35" s="23">
        <f>IF(H35="Retrasado",I35+(1000-ROW())/100000,"")</f>
        <v/>
      </c>
      <c r="O35" s="23">
        <f>IF(OR(D35="",E35=""),"",IF(COUNTIF($D$10:D35,D35)=1,COUNTIF($D$10:$D$69,D35)+(1000-ROW())/100000,""))</f>
        <v/>
      </c>
    </row>
    <row r="36">
      <c r="B36" s="20" t="n"/>
      <c r="C36" s="11">
        <f>IF(B36="","",IFERROR(INDEX(Libros!$C$6:$C$45,MATCH(B36,Libros!$B$6:$B$45,0)),"¿Código?"))</f>
        <v/>
      </c>
      <c r="D36" s="21" t="n"/>
      <c r="E36" s="25" t="n"/>
      <c r="F36" s="14">
        <f>IF(E36="","",E36+$D$6)</f>
        <v/>
      </c>
      <c r="G36" s="25" t="n"/>
      <c r="H36" s="22">
        <f>IF(OR(B36="",E36=""),"",IF(G36&lt;&gt;"",IF(G36&gt;F36,"Devuelto con retraso","Devuelto"),IF($D$5&gt;F36,"Retrasado",IF(F36-$D$5&lt;=$D$7,"Vence pronto","En préstamo"))))</f>
        <v/>
      </c>
      <c r="I36" s="16">
        <f>IF(OR(B36="",E36=""),"",IF(G36&lt;&gt;"",MAX(0,G36-F36),MAX(0,$D$5-F36)))</f>
        <v/>
      </c>
      <c r="J36" s="11">
        <f>IF(H36="Retrasado","AVISAR a "&amp;D36&amp;": «"&amp;C36&amp;"» lleva "&amp;I36&amp;" días de retraso",IF(H36="Vence pronto","Recordar a "&amp;D36&amp;" la devolución el "&amp;DAY(F36)&amp;"/"&amp;MONTH(F36),""))</f>
        <v/>
      </c>
      <c r="K36" s="21" t="n"/>
      <c r="L36" s="22">
        <f>IF(B36="","",IF(ISNA(MATCH(B36,Libros!$B$6:$B$45,0)),"Código no existe",IF(D36="","Falta el alumno",IF(E36="","Falta fecha de salida",IF(AND(G36&lt;&gt;"",G36&lt;E36),"Devolución anterior a salida",IF(AND(G36="",SUMPRODUCT(($B$10:$B$69=B36)*($E$10:$E$69&lt;&gt;"")*($G$10:$G$69=""))&gt;1),"Libro ya prestado","OK"))))))</f>
        <v/>
      </c>
      <c r="M36" s="27">
        <f>IF(AND(B36&lt;&gt;"",E36&lt;&gt;"",G36=""),B36,"")</f>
        <v/>
      </c>
      <c r="N36" s="23">
        <f>IF(H36="Retrasado",I36+(1000-ROW())/100000,"")</f>
        <v/>
      </c>
      <c r="O36" s="23">
        <f>IF(OR(D36="",E36=""),"",IF(COUNTIF($D$10:D36,D36)=1,COUNTIF($D$10:$D$69,D36)+(1000-ROW())/100000,""))</f>
        <v/>
      </c>
    </row>
    <row r="37">
      <c r="B37" s="20" t="n"/>
      <c r="C37" s="11">
        <f>IF(B37="","",IFERROR(INDEX(Libros!$C$6:$C$45,MATCH(B37,Libros!$B$6:$B$45,0)),"¿Código?"))</f>
        <v/>
      </c>
      <c r="D37" s="21" t="n"/>
      <c r="E37" s="25" t="n"/>
      <c r="F37" s="14">
        <f>IF(E37="","",E37+$D$6)</f>
        <v/>
      </c>
      <c r="G37" s="25" t="n"/>
      <c r="H37" s="22">
        <f>IF(OR(B37="",E37=""),"",IF(G37&lt;&gt;"",IF(G37&gt;F37,"Devuelto con retraso","Devuelto"),IF($D$5&gt;F37,"Retrasado",IF(F37-$D$5&lt;=$D$7,"Vence pronto","En préstamo"))))</f>
        <v/>
      </c>
      <c r="I37" s="16">
        <f>IF(OR(B37="",E37=""),"",IF(G37&lt;&gt;"",MAX(0,G37-F37),MAX(0,$D$5-F37)))</f>
        <v/>
      </c>
      <c r="J37" s="11">
        <f>IF(H37="Retrasado","AVISAR a "&amp;D37&amp;": «"&amp;C37&amp;"» lleva "&amp;I37&amp;" días de retraso",IF(H37="Vence pronto","Recordar a "&amp;D37&amp;" la devolución el "&amp;DAY(F37)&amp;"/"&amp;MONTH(F37),""))</f>
        <v/>
      </c>
      <c r="K37" s="21" t="n"/>
      <c r="L37" s="22">
        <f>IF(B37="","",IF(ISNA(MATCH(B37,Libros!$B$6:$B$45,0)),"Código no existe",IF(D37="","Falta el alumno",IF(E37="","Falta fecha de salida",IF(AND(G37&lt;&gt;"",G37&lt;E37),"Devolución anterior a salida",IF(AND(G37="",SUMPRODUCT(($B$10:$B$69=B37)*($E$10:$E$69&lt;&gt;"")*($G$10:$G$69=""))&gt;1),"Libro ya prestado","OK"))))))</f>
        <v/>
      </c>
      <c r="M37" s="27">
        <f>IF(AND(B37&lt;&gt;"",E37&lt;&gt;"",G37=""),B37,"")</f>
        <v/>
      </c>
      <c r="N37" s="23">
        <f>IF(H37="Retrasado",I37+(1000-ROW())/100000,"")</f>
        <v/>
      </c>
      <c r="O37" s="23">
        <f>IF(OR(D37="",E37=""),"",IF(COUNTIF($D$10:D37,D37)=1,COUNTIF($D$10:$D$69,D37)+(1000-ROW())/100000,""))</f>
        <v/>
      </c>
    </row>
    <row r="38">
      <c r="B38" s="20" t="n"/>
      <c r="C38" s="11">
        <f>IF(B38="","",IFERROR(INDEX(Libros!$C$6:$C$45,MATCH(B38,Libros!$B$6:$B$45,0)),"¿Código?"))</f>
        <v/>
      </c>
      <c r="D38" s="21" t="n"/>
      <c r="E38" s="25" t="n"/>
      <c r="F38" s="14">
        <f>IF(E38="","",E38+$D$6)</f>
        <v/>
      </c>
      <c r="G38" s="25" t="n"/>
      <c r="H38" s="22">
        <f>IF(OR(B38="",E38=""),"",IF(G38&lt;&gt;"",IF(G38&gt;F38,"Devuelto con retraso","Devuelto"),IF($D$5&gt;F38,"Retrasado",IF(F38-$D$5&lt;=$D$7,"Vence pronto","En préstamo"))))</f>
        <v/>
      </c>
      <c r="I38" s="16">
        <f>IF(OR(B38="",E38=""),"",IF(G38&lt;&gt;"",MAX(0,G38-F38),MAX(0,$D$5-F38)))</f>
        <v/>
      </c>
      <c r="J38" s="11">
        <f>IF(H38="Retrasado","AVISAR a "&amp;D38&amp;": «"&amp;C38&amp;"» lleva "&amp;I38&amp;" días de retraso",IF(H38="Vence pronto","Recordar a "&amp;D38&amp;" la devolución el "&amp;DAY(F38)&amp;"/"&amp;MONTH(F38),""))</f>
        <v/>
      </c>
      <c r="K38" s="21" t="n"/>
      <c r="L38" s="22">
        <f>IF(B38="","",IF(ISNA(MATCH(B38,Libros!$B$6:$B$45,0)),"Código no existe",IF(D38="","Falta el alumno",IF(E38="","Falta fecha de salida",IF(AND(G38&lt;&gt;"",G38&lt;E38),"Devolución anterior a salida",IF(AND(G38="",SUMPRODUCT(($B$10:$B$69=B38)*($E$10:$E$69&lt;&gt;"")*($G$10:$G$69=""))&gt;1),"Libro ya prestado","OK"))))))</f>
        <v/>
      </c>
      <c r="M38" s="27">
        <f>IF(AND(B38&lt;&gt;"",E38&lt;&gt;"",G38=""),B38,"")</f>
        <v/>
      </c>
      <c r="N38" s="23">
        <f>IF(H38="Retrasado",I38+(1000-ROW())/100000,"")</f>
        <v/>
      </c>
      <c r="O38" s="23">
        <f>IF(OR(D38="",E38=""),"",IF(COUNTIF($D$10:D38,D38)=1,COUNTIF($D$10:$D$69,D38)+(1000-ROW())/100000,""))</f>
        <v/>
      </c>
    </row>
    <row r="39">
      <c r="B39" s="20" t="n"/>
      <c r="C39" s="11">
        <f>IF(B39="","",IFERROR(INDEX(Libros!$C$6:$C$45,MATCH(B39,Libros!$B$6:$B$45,0)),"¿Código?"))</f>
        <v/>
      </c>
      <c r="D39" s="21" t="n"/>
      <c r="E39" s="25" t="n"/>
      <c r="F39" s="14">
        <f>IF(E39="","",E39+$D$6)</f>
        <v/>
      </c>
      <c r="G39" s="25" t="n"/>
      <c r="H39" s="22">
        <f>IF(OR(B39="",E39=""),"",IF(G39&lt;&gt;"",IF(G39&gt;F39,"Devuelto con retraso","Devuelto"),IF($D$5&gt;F39,"Retrasado",IF(F39-$D$5&lt;=$D$7,"Vence pronto","En préstamo"))))</f>
        <v/>
      </c>
      <c r="I39" s="16">
        <f>IF(OR(B39="",E39=""),"",IF(G39&lt;&gt;"",MAX(0,G39-F39),MAX(0,$D$5-F39)))</f>
        <v/>
      </c>
      <c r="J39" s="11">
        <f>IF(H39="Retrasado","AVISAR a "&amp;D39&amp;": «"&amp;C39&amp;"» lleva "&amp;I39&amp;" días de retraso",IF(H39="Vence pronto","Recordar a "&amp;D39&amp;" la devolución el "&amp;DAY(F39)&amp;"/"&amp;MONTH(F39),""))</f>
        <v/>
      </c>
      <c r="K39" s="21" t="n"/>
      <c r="L39" s="22">
        <f>IF(B39="","",IF(ISNA(MATCH(B39,Libros!$B$6:$B$45,0)),"Código no existe",IF(D39="","Falta el alumno",IF(E39="","Falta fecha de salida",IF(AND(G39&lt;&gt;"",G39&lt;E39),"Devolución anterior a salida",IF(AND(G39="",SUMPRODUCT(($B$10:$B$69=B39)*($E$10:$E$69&lt;&gt;"")*($G$10:$G$69=""))&gt;1),"Libro ya prestado","OK"))))))</f>
        <v/>
      </c>
      <c r="M39" s="27">
        <f>IF(AND(B39&lt;&gt;"",E39&lt;&gt;"",G39=""),B39,"")</f>
        <v/>
      </c>
      <c r="N39" s="23">
        <f>IF(H39="Retrasado",I39+(1000-ROW())/100000,"")</f>
        <v/>
      </c>
      <c r="O39" s="23">
        <f>IF(OR(D39="",E39=""),"",IF(COUNTIF($D$10:D39,D39)=1,COUNTIF($D$10:$D$69,D39)+(1000-ROW())/100000,""))</f>
        <v/>
      </c>
    </row>
    <row r="40">
      <c r="B40" s="20" t="n"/>
      <c r="C40" s="11">
        <f>IF(B40="","",IFERROR(INDEX(Libros!$C$6:$C$45,MATCH(B40,Libros!$B$6:$B$45,0)),"¿Código?"))</f>
        <v/>
      </c>
      <c r="D40" s="21" t="n"/>
      <c r="E40" s="25" t="n"/>
      <c r="F40" s="14">
        <f>IF(E40="","",E40+$D$6)</f>
        <v/>
      </c>
      <c r="G40" s="25" t="n"/>
      <c r="H40" s="22">
        <f>IF(OR(B40="",E40=""),"",IF(G40&lt;&gt;"",IF(G40&gt;F40,"Devuelto con retraso","Devuelto"),IF($D$5&gt;F40,"Retrasado",IF(F40-$D$5&lt;=$D$7,"Vence pronto","En préstamo"))))</f>
        <v/>
      </c>
      <c r="I40" s="16">
        <f>IF(OR(B40="",E40=""),"",IF(G40&lt;&gt;"",MAX(0,G40-F40),MAX(0,$D$5-F40)))</f>
        <v/>
      </c>
      <c r="J40" s="11">
        <f>IF(H40="Retrasado","AVISAR a "&amp;D40&amp;": «"&amp;C40&amp;"» lleva "&amp;I40&amp;" días de retraso",IF(H40="Vence pronto","Recordar a "&amp;D40&amp;" la devolución el "&amp;DAY(F40)&amp;"/"&amp;MONTH(F40),""))</f>
        <v/>
      </c>
      <c r="K40" s="21" t="n"/>
      <c r="L40" s="22">
        <f>IF(B40="","",IF(ISNA(MATCH(B40,Libros!$B$6:$B$45,0)),"Código no existe",IF(D40="","Falta el alumno",IF(E40="","Falta fecha de salida",IF(AND(G40&lt;&gt;"",G40&lt;E40),"Devolución anterior a salida",IF(AND(G40="",SUMPRODUCT(($B$10:$B$69=B40)*($E$10:$E$69&lt;&gt;"")*($G$10:$G$69=""))&gt;1),"Libro ya prestado","OK"))))))</f>
        <v/>
      </c>
      <c r="M40" s="27">
        <f>IF(AND(B40&lt;&gt;"",E40&lt;&gt;"",G40=""),B40,"")</f>
        <v/>
      </c>
      <c r="N40" s="23">
        <f>IF(H40="Retrasado",I40+(1000-ROW())/100000,"")</f>
        <v/>
      </c>
      <c r="O40" s="23">
        <f>IF(OR(D40="",E40=""),"",IF(COUNTIF($D$10:D40,D40)=1,COUNTIF($D$10:$D$69,D40)+(1000-ROW())/100000,""))</f>
        <v/>
      </c>
    </row>
    <row r="41">
      <c r="B41" s="20" t="n"/>
      <c r="C41" s="11">
        <f>IF(B41="","",IFERROR(INDEX(Libros!$C$6:$C$45,MATCH(B41,Libros!$B$6:$B$45,0)),"¿Código?"))</f>
        <v/>
      </c>
      <c r="D41" s="21" t="n"/>
      <c r="E41" s="25" t="n"/>
      <c r="F41" s="14">
        <f>IF(E41="","",E41+$D$6)</f>
        <v/>
      </c>
      <c r="G41" s="25" t="n"/>
      <c r="H41" s="22">
        <f>IF(OR(B41="",E41=""),"",IF(G41&lt;&gt;"",IF(G41&gt;F41,"Devuelto con retraso","Devuelto"),IF($D$5&gt;F41,"Retrasado",IF(F41-$D$5&lt;=$D$7,"Vence pronto","En préstamo"))))</f>
        <v/>
      </c>
      <c r="I41" s="16">
        <f>IF(OR(B41="",E41=""),"",IF(G41&lt;&gt;"",MAX(0,G41-F41),MAX(0,$D$5-F41)))</f>
        <v/>
      </c>
      <c r="J41" s="11">
        <f>IF(H41="Retrasado","AVISAR a "&amp;D41&amp;": «"&amp;C41&amp;"» lleva "&amp;I41&amp;" días de retraso",IF(H41="Vence pronto","Recordar a "&amp;D41&amp;" la devolución el "&amp;DAY(F41)&amp;"/"&amp;MONTH(F41),""))</f>
        <v/>
      </c>
      <c r="K41" s="21" t="n"/>
      <c r="L41" s="22">
        <f>IF(B41="","",IF(ISNA(MATCH(B41,Libros!$B$6:$B$45,0)),"Código no existe",IF(D41="","Falta el alumno",IF(E41="","Falta fecha de salida",IF(AND(G41&lt;&gt;"",G41&lt;E41),"Devolución anterior a salida",IF(AND(G41="",SUMPRODUCT(($B$10:$B$69=B41)*($E$10:$E$69&lt;&gt;"")*($G$10:$G$69=""))&gt;1),"Libro ya prestado","OK"))))))</f>
        <v/>
      </c>
      <c r="M41" s="27">
        <f>IF(AND(B41&lt;&gt;"",E41&lt;&gt;"",G41=""),B41,"")</f>
        <v/>
      </c>
      <c r="N41" s="23">
        <f>IF(H41="Retrasado",I41+(1000-ROW())/100000,"")</f>
        <v/>
      </c>
      <c r="O41" s="23">
        <f>IF(OR(D41="",E41=""),"",IF(COUNTIF($D$10:D41,D41)=1,COUNTIF($D$10:$D$69,D41)+(1000-ROW())/100000,""))</f>
        <v/>
      </c>
    </row>
    <row r="42">
      <c r="B42" s="20" t="n"/>
      <c r="C42" s="11">
        <f>IF(B42="","",IFERROR(INDEX(Libros!$C$6:$C$45,MATCH(B42,Libros!$B$6:$B$45,0)),"¿Código?"))</f>
        <v/>
      </c>
      <c r="D42" s="21" t="n"/>
      <c r="E42" s="25" t="n"/>
      <c r="F42" s="14">
        <f>IF(E42="","",E42+$D$6)</f>
        <v/>
      </c>
      <c r="G42" s="25" t="n"/>
      <c r="H42" s="22">
        <f>IF(OR(B42="",E42=""),"",IF(G42&lt;&gt;"",IF(G42&gt;F42,"Devuelto con retraso","Devuelto"),IF($D$5&gt;F42,"Retrasado",IF(F42-$D$5&lt;=$D$7,"Vence pronto","En préstamo"))))</f>
        <v/>
      </c>
      <c r="I42" s="16">
        <f>IF(OR(B42="",E42=""),"",IF(G42&lt;&gt;"",MAX(0,G42-F42),MAX(0,$D$5-F42)))</f>
        <v/>
      </c>
      <c r="J42" s="11">
        <f>IF(H42="Retrasado","AVISAR a "&amp;D42&amp;": «"&amp;C42&amp;"» lleva "&amp;I42&amp;" días de retraso",IF(H42="Vence pronto","Recordar a "&amp;D42&amp;" la devolución el "&amp;DAY(F42)&amp;"/"&amp;MONTH(F42),""))</f>
        <v/>
      </c>
      <c r="K42" s="21" t="n"/>
      <c r="L42" s="22">
        <f>IF(B42="","",IF(ISNA(MATCH(B42,Libros!$B$6:$B$45,0)),"Código no existe",IF(D42="","Falta el alumno",IF(E42="","Falta fecha de salida",IF(AND(G42&lt;&gt;"",G42&lt;E42),"Devolución anterior a salida",IF(AND(G42="",SUMPRODUCT(($B$10:$B$69=B42)*($E$10:$E$69&lt;&gt;"")*($G$10:$G$69=""))&gt;1),"Libro ya prestado","OK"))))))</f>
        <v/>
      </c>
      <c r="M42" s="27">
        <f>IF(AND(B42&lt;&gt;"",E42&lt;&gt;"",G42=""),B42,"")</f>
        <v/>
      </c>
      <c r="N42" s="23">
        <f>IF(H42="Retrasado",I42+(1000-ROW())/100000,"")</f>
        <v/>
      </c>
      <c r="O42" s="23">
        <f>IF(OR(D42="",E42=""),"",IF(COUNTIF($D$10:D42,D42)=1,COUNTIF($D$10:$D$69,D42)+(1000-ROW())/100000,""))</f>
        <v/>
      </c>
    </row>
    <row r="43">
      <c r="B43" s="20" t="n"/>
      <c r="C43" s="11">
        <f>IF(B43="","",IFERROR(INDEX(Libros!$C$6:$C$45,MATCH(B43,Libros!$B$6:$B$45,0)),"¿Código?"))</f>
        <v/>
      </c>
      <c r="D43" s="21" t="n"/>
      <c r="E43" s="25" t="n"/>
      <c r="F43" s="14">
        <f>IF(E43="","",E43+$D$6)</f>
        <v/>
      </c>
      <c r="G43" s="25" t="n"/>
      <c r="H43" s="22">
        <f>IF(OR(B43="",E43=""),"",IF(G43&lt;&gt;"",IF(G43&gt;F43,"Devuelto con retraso","Devuelto"),IF($D$5&gt;F43,"Retrasado",IF(F43-$D$5&lt;=$D$7,"Vence pronto","En préstamo"))))</f>
        <v/>
      </c>
      <c r="I43" s="16">
        <f>IF(OR(B43="",E43=""),"",IF(G43&lt;&gt;"",MAX(0,G43-F43),MAX(0,$D$5-F43)))</f>
        <v/>
      </c>
      <c r="J43" s="11">
        <f>IF(H43="Retrasado","AVISAR a "&amp;D43&amp;": «"&amp;C43&amp;"» lleva "&amp;I43&amp;" días de retraso",IF(H43="Vence pronto","Recordar a "&amp;D43&amp;" la devolución el "&amp;DAY(F43)&amp;"/"&amp;MONTH(F43),""))</f>
        <v/>
      </c>
      <c r="K43" s="21" t="n"/>
      <c r="L43" s="22">
        <f>IF(B43="","",IF(ISNA(MATCH(B43,Libros!$B$6:$B$45,0)),"Código no existe",IF(D43="","Falta el alumno",IF(E43="","Falta fecha de salida",IF(AND(G43&lt;&gt;"",G43&lt;E43),"Devolución anterior a salida",IF(AND(G43="",SUMPRODUCT(($B$10:$B$69=B43)*($E$10:$E$69&lt;&gt;"")*($G$10:$G$69=""))&gt;1),"Libro ya prestado","OK"))))))</f>
        <v/>
      </c>
      <c r="M43" s="27">
        <f>IF(AND(B43&lt;&gt;"",E43&lt;&gt;"",G43=""),B43,"")</f>
        <v/>
      </c>
      <c r="N43" s="23">
        <f>IF(H43="Retrasado",I43+(1000-ROW())/100000,"")</f>
        <v/>
      </c>
      <c r="O43" s="23">
        <f>IF(OR(D43="",E43=""),"",IF(COUNTIF($D$10:D43,D43)=1,COUNTIF($D$10:$D$69,D43)+(1000-ROW())/100000,""))</f>
        <v/>
      </c>
    </row>
    <row r="44">
      <c r="B44" s="20" t="n"/>
      <c r="C44" s="11">
        <f>IF(B44="","",IFERROR(INDEX(Libros!$C$6:$C$45,MATCH(B44,Libros!$B$6:$B$45,0)),"¿Código?"))</f>
        <v/>
      </c>
      <c r="D44" s="21" t="n"/>
      <c r="E44" s="25" t="n"/>
      <c r="F44" s="14">
        <f>IF(E44="","",E44+$D$6)</f>
        <v/>
      </c>
      <c r="G44" s="25" t="n"/>
      <c r="H44" s="22">
        <f>IF(OR(B44="",E44=""),"",IF(G44&lt;&gt;"",IF(G44&gt;F44,"Devuelto con retraso","Devuelto"),IF($D$5&gt;F44,"Retrasado",IF(F44-$D$5&lt;=$D$7,"Vence pronto","En préstamo"))))</f>
        <v/>
      </c>
      <c r="I44" s="16">
        <f>IF(OR(B44="",E44=""),"",IF(G44&lt;&gt;"",MAX(0,G44-F44),MAX(0,$D$5-F44)))</f>
        <v/>
      </c>
      <c r="J44" s="11">
        <f>IF(H44="Retrasado","AVISAR a "&amp;D44&amp;": «"&amp;C44&amp;"» lleva "&amp;I44&amp;" días de retraso",IF(H44="Vence pronto","Recordar a "&amp;D44&amp;" la devolución el "&amp;DAY(F44)&amp;"/"&amp;MONTH(F44),""))</f>
        <v/>
      </c>
      <c r="K44" s="21" t="n"/>
      <c r="L44" s="22">
        <f>IF(B44="","",IF(ISNA(MATCH(B44,Libros!$B$6:$B$45,0)),"Código no existe",IF(D44="","Falta el alumno",IF(E44="","Falta fecha de salida",IF(AND(G44&lt;&gt;"",G44&lt;E44),"Devolución anterior a salida",IF(AND(G44="",SUMPRODUCT(($B$10:$B$69=B44)*($E$10:$E$69&lt;&gt;"")*($G$10:$G$69=""))&gt;1),"Libro ya prestado","OK"))))))</f>
        <v/>
      </c>
      <c r="M44" s="27">
        <f>IF(AND(B44&lt;&gt;"",E44&lt;&gt;"",G44=""),B44,"")</f>
        <v/>
      </c>
      <c r="N44" s="23">
        <f>IF(H44="Retrasado",I44+(1000-ROW())/100000,"")</f>
        <v/>
      </c>
      <c r="O44" s="23">
        <f>IF(OR(D44="",E44=""),"",IF(COUNTIF($D$10:D44,D44)=1,COUNTIF($D$10:$D$69,D44)+(1000-ROW())/100000,""))</f>
        <v/>
      </c>
    </row>
    <row r="45">
      <c r="B45" s="20" t="n"/>
      <c r="C45" s="11">
        <f>IF(B45="","",IFERROR(INDEX(Libros!$C$6:$C$45,MATCH(B45,Libros!$B$6:$B$45,0)),"¿Código?"))</f>
        <v/>
      </c>
      <c r="D45" s="21" t="n"/>
      <c r="E45" s="25" t="n"/>
      <c r="F45" s="14">
        <f>IF(E45="","",E45+$D$6)</f>
        <v/>
      </c>
      <c r="G45" s="25" t="n"/>
      <c r="H45" s="22">
        <f>IF(OR(B45="",E45=""),"",IF(G45&lt;&gt;"",IF(G45&gt;F45,"Devuelto con retraso","Devuelto"),IF($D$5&gt;F45,"Retrasado",IF(F45-$D$5&lt;=$D$7,"Vence pronto","En préstamo"))))</f>
        <v/>
      </c>
      <c r="I45" s="16">
        <f>IF(OR(B45="",E45=""),"",IF(G45&lt;&gt;"",MAX(0,G45-F45),MAX(0,$D$5-F45)))</f>
        <v/>
      </c>
      <c r="J45" s="11">
        <f>IF(H45="Retrasado","AVISAR a "&amp;D45&amp;": «"&amp;C45&amp;"» lleva "&amp;I45&amp;" días de retraso",IF(H45="Vence pronto","Recordar a "&amp;D45&amp;" la devolución el "&amp;DAY(F45)&amp;"/"&amp;MONTH(F45),""))</f>
        <v/>
      </c>
      <c r="K45" s="21" t="n"/>
      <c r="L45" s="22">
        <f>IF(B45="","",IF(ISNA(MATCH(B45,Libros!$B$6:$B$45,0)),"Código no existe",IF(D45="","Falta el alumno",IF(E45="","Falta fecha de salida",IF(AND(G45&lt;&gt;"",G45&lt;E45),"Devolución anterior a salida",IF(AND(G45="",SUMPRODUCT(($B$10:$B$69=B45)*($E$10:$E$69&lt;&gt;"")*($G$10:$G$69=""))&gt;1),"Libro ya prestado","OK"))))))</f>
        <v/>
      </c>
      <c r="M45" s="27">
        <f>IF(AND(B45&lt;&gt;"",E45&lt;&gt;"",G45=""),B45,"")</f>
        <v/>
      </c>
      <c r="N45" s="23">
        <f>IF(H45="Retrasado",I45+(1000-ROW())/100000,"")</f>
        <v/>
      </c>
      <c r="O45" s="23">
        <f>IF(OR(D45="",E45=""),"",IF(COUNTIF($D$10:D45,D45)=1,COUNTIF($D$10:$D$69,D45)+(1000-ROW())/100000,""))</f>
        <v/>
      </c>
    </row>
    <row r="46">
      <c r="B46" s="20" t="n"/>
      <c r="C46" s="11">
        <f>IF(B46="","",IFERROR(INDEX(Libros!$C$6:$C$45,MATCH(B46,Libros!$B$6:$B$45,0)),"¿Código?"))</f>
        <v/>
      </c>
      <c r="D46" s="21" t="n"/>
      <c r="E46" s="25" t="n"/>
      <c r="F46" s="14">
        <f>IF(E46="","",E46+$D$6)</f>
        <v/>
      </c>
      <c r="G46" s="25" t="n"/>
      <c r="H46" s="22">
        <f>IF(OR(B46="",E46=""),"",IF(G46&lt;&gt;"",IF(G46&gt;F46,"Devuelto con retraso","Devuelto"),IF($D$5&gt;F46,"Retrasado",IF(F46-$D$5&lt;=$D$7,"Vence pronto","En préstamo"))))</f>
        <v/>
      </c>
      <c r="I46" s="16">
        <f>IF(OR(B46="",E46=""),"",IF(G46&lt;&gt;"",MAX(0,G46-F46),MAX(0,$D$5-F46)))</f>
        <v/>
      </c>
      <c r="J46" s="11">
        <f>IF(H46="Retrasado","AVISAR a "&amp;D46&amp;": «"&amp;C46&amp;"» lleva "&amp;I46&amp;" días de retraso",IF(H46="Vence pronto","Recordar a "&amp;D46&amp;" la devolución el "&amp;DAY(F46)&amp;"/"&amp;MONTH(F46),""))</f>
        <v/>
      </c>
      <c r="K46" s="21" t="n"/>
      <c r="L46" s="22">
        <f>IF(B46="","",IF(ISNA(MATCH(B46,Libros!$B$6:$B$45,0)),"Código no existe",IF(D46="","Falta el alumno",IF(E46="","Falta fecha de salida",IF(AND(G46&lt;&gt;"",G46&lt;E46),"Devolución anterior a salida",IF(AND(G46="",SUMPRODUCT(($B$10:$B$69=B46)*($E$10:$E$69&lt;&gt;"")*($G$10:$G$69=""))&gt;1),"Libro ya prestado","OK"))))))</f>
        <v/>
      </c>
      <c r="M46" s="27">
        <f>IF(AND(B46&lt;&gt;"",E46&lt;&gt;"",G46=""),B46,"")</f>
        <v/>
      </c>
      <c r="N46" s="23">
        <f>IF(H46="Retrasado",I46+(1000-ROW())/100000,"")</f>
        <v/>
      </c>
      <c r="O46" s="23">
        <f>IF(OR(D46="",E46=""),"",IF(COUNTIF($D$10:D46,D46)=1,COUNTIF($D$10:$D$69,D46)+(1000-ROW())/100000,""))</f>
        <v/>
      </c>
    </row>
    <row r="47">
      <c r="B47" s="20" t="n"/>
      <c r="C47" s="11">
        <f>IF(B47="","",IFERROR(INDEX(Libros!$C$6:$C$45,MATCH(B47,Libros!$B$6:$B$45,0)),"¿Código?"))</f>
        <v/>
      </c>
      <c r="D47" s="21" t="n"/>
      <c r="E47" s="25" t="n"/>
      <c r="F47" s="14">
        <f>IF(E47="","",E47+$D$6)</f>
        <v/>
      </c>
      <c r="G47" s="25" t="n"/>
      <c r="H47" s="22">
        <f>IF(OR(B47="",E47=""),"",IF(G47&lt;&gt;"",IF(G47&gt;F47,"Devuelto con retraso","Devuelto"),IF($D$5&gt;F47,"Retrasado",IF(F47-$D$5&lt;=$D$7,"Vence pronto","En préstamo"))))</f>
        <v/>
      </c>
      <c r="I47" s="16">
        <f>IF(OR(B47="",E47=""),"",IF(G47&lt;&gt;"",MAX(0,G47-F47),MAX(0,$D$5-F47)))</f>
        <v/>
      </c>
      <c r="J47" s="11">
        <f>IF(H47="Retrasado","AVISAR a "&amp;D47&amp;": «"&amp;C47&amp;"» lleva "&amp;I47&amp;" días de retraso",IF(H47="Vence pronto","Recordar a "&amp;D47&amp;" la devolución el "&amp;DAY(F47)&amp;"/"&amp;MONTH(F47),""))</f>
        <v/>
      </c>
      <c r="K47" s="21" t="n"/>
      <c r="L47" s="22">
        <f>IF(B47="","",IF(ISNA(MATCH(B47,Libros!$B$6:$B$45,0)),"Código no existe",IF(D47="","Falta el alumno",IF(E47="","Falta fecha de salida",IF(AND(G47&lt;&gt;"",G47&lt;E47),"Devolución anterior a salida",IF(AND(G47="",SUMPRODUCT(($B$10:$B$69=B47)*($E$10:$E$69&lt;&gt;"")*($G$10:$G$69=""))&gt;1),"Libro ya prestado","OK"))))))</f>
        <v/>
      </c>
      <c r="M47" s="27">
        <f>IF(AND(B47&lt;&gt;"",E47&lt;&gt;"",G47=""),B47,"")</f>
        <v/>
      </c>
      <c r="N47" s="23">
        <f>IF(H47="Retrasado",I47+(1000-ROW())/100000,"")</f>
        <v/>
      </c>
      <c r="O47" s="23">
        <f>IF(OR(D47="",E47=""),"",IF(COUNTIF($D$10:D47,D47)=1,COUNTIF($D$10:$D$69,D47)+(1000-ROW())/100000,""))</f>
        <v/>
      </c>
    </row>
    <row r="48">
      <c r="B48" s="20" t="n"/>
      <c r="C48" s="11">
        <f>IF(B48="","",IFERROR(INDEX(Libros!$C$6:$C$45,MATCH(B48,Libros!$B$6:$B$45,0)),"¿Código?"))</f>
        <v/>
      </c>
      <c r="D48" s="21" t="n"/>
      <c r="E48" s="25" t="n"/>
      <c r="F48" s="14">
        <f>IF(E48="","",E48+$D$6)</f>
        <v/>
      </c>
      <c r="G48" s="25" t="n"/>
      <c r="H48" s="22">
        <f>IF(OR(B48="",E48=""),"",IF(G48&lt;&gt;"",IF(G48&gt;F48,"Devuelto con retraso","Devuelto"),IF($D$5&gt;F48,"Retrasado",IF(F48-$D$5&lt;=$D$7,"Vence pronto","En préstamo"))))</f>
        <v/>
      </c>
      <c r="I48" s="16">
        <f>IF(OR(B48="",E48=""),"",IF(G48&lt;&gt;"",MAX(0,G48-F48),MAX(0,$D$5-F48)))</f>
        <v/>
      </c>
      <c r="J48" s="11">
        <f>IF(H48="Retrasado","AVISAR a "&amp;D48&amp;": «"&amp;C48&amp;"» lleva "&amp;I48&amp;" días de retraso",IF(H48="Vence pronto","Recordar a "&amp;D48&amp;" la devolución el "&amp;DAY(F48)&amp;"/"&amp;MONTH(F48),""))</f>
        <v/>
      </c>
      <c r="K48" s="21" t="n"/>
      <c r="L48" s="22">
        <f>IF(B48="","",IF(ISNA(MATCH(B48,Libros!$B$6:$B$45,0)),"Código no existe",IF(D48="","Falta el alumno",IF(E48="","Falta fecha de salida",IF(AND(G48&lt;&gt;"",G48&lt;E48),"Devolución anterior a salida",IF(AND(G48="",SUMPRODUCT(($B$10:$B$69=B48)*($E$10:$E$69&lt;&gt;"")*($G$10:$G$69=""))&gt;1),"Libro ya prestado","OK"))))))</f>
        <v/>
      </c>
      <c r="M48" s="27">
        <f>IF(AND(B48&lt;&gt;"",E48&lt;&gt;"",G48=""),B48,"")</f>
        <v/>
      </c>
      <c r="N48" s="23">
        <f>IF(H48="Retrasado",I48+(1000-ROW())/100000,"")</f>
        <v/>
      </c>
      <c r="O48" s="23">
        <f>IF(OR(D48="",E48=""),"",IF(COUNTIF($D$10:D48,D48)=1,COUNTIF($D$10:$D$69,D48)+(1000-ROW())/100000,""))</f>
        <v/>
      </c>
    </row>
    <row r="49">
      <c r="B49" s="20" t="n"/>
      <c r="C49" s="11">
        <f>IF(B49="","",IFERROR(INDEX(Libros!$C$6:$C$45,MATCH(B49,Libros!$B$6:$B$45,0)),"¿Código?"))</f>
        <v/>
      </c>
      <c r="D49" s="21" t="n"/>
      <c r="E49" s="25" t="n"/>
      <c r="F49" s="14">
        <f>IF(E49="","",E49+$D$6)</f>
        <v/>
      </c>
      <c r="G49" s="25" t="n"/>
      <c r="H49" s="22">
        <f>IF(OR(B49="",E49=""),"",IF(G49&lt;&gt;"",IF(G49&gt;F49,"Devuelto con retraso","Devuelto"),IF($D$5&gt;F49,"Retrasado",IF(F49-$D$5&lt;=$D$7,"Vence pronto","En préstamo"))))</f>
        <v/>
      </c>
      <c r="I49" s="16">
        <f>IF(OR(B49="",E49=""),"",IF(G49&lt;&gt;"",MAX(0,G49-F49),MAX(0,$D$5-F49)))</f>
        <v/>
      </c>
      <c r="J49" s="11">
        <f>IF(H49="Retrasado","AVISAR a "&amp;D49&amp;": «"&amp;C49&amp;"» lleva "&amp;I49&amp;" días de retraso",IF(H49="Vence pronto","Recordar a "&amp;D49&amp;" la devolución el "&amp;DAY(F49)&amp;"/"&amp;MONTH(F49),""))</f>
        <v/>
      </c>
      <c r="K49" s="21" t="n"/>
      <c r="L49" s="22">
        <f>IF(B49="","",IF(ISNA(MATCH(B49,Libros!$B$6:$B$45,0)),"Código no existe",IF(D49="","Falta el alumno",IF(E49="","Falta fecha de salida",IF(AND(G49&lt;&gt;"",G49&lt;E49),"Devolución anterior a salida",IF(AND(G49="",SUMPRODUCT(($B$10:$B$69=B49)*($E$10:$E$69&lt;&gt;"")*($G$10:$G$69=""))&gt;1),"Libro ya prestado","OK"))))))</f>
        <v/>
      </c>
      <c r="M49" s="27">
        <f>IF(AND(B49&lt;&gt;"",E49&lt;&gt;"",G49=""),B49,"")</f>
        <v/>
      </c>
      <c r="N49" s="23">
        <f>IF(H49="Retrasado",I49+(1000-ROW())/100000,"")</f>
        <v/>
      </c>
      <c r="O49" s="23">
        <f>IF(OR(D49="",E49=""),"",IF(COUNTIF($D$10:D49,D49)=1,COUNTIF($D$10:$D$69,D49)+(1000-ROW())/100000,""))</f>
        <v/>
      </c>
    </row>
    <row r="50">
      <c r="B50" s="20" t="n"/>
      <c r="C50" s="11">
        <f>IF(B50="","",IFERROR(INDEX(Libros!$C$6:$C$45,MATCH(B50,Libros!$B$6:$B$45,0)),"¿Código?"))</f>
        <v/>
      </c>
      <c r="D50" s="21" t="n"/>
      <c r="E50" s="25" t="n"/>
      <c r="F50" s="14">
        <f>IF(E50="","",E50+$D$6)</f>
        <v/>
      </c>
      <c r="G50" s="25" t="n"/>
      <c r="H50" s="22">
        <f>IF(OR(B50="",E50=""),"",IF(G50&lt;&gt;"",IF(G50&gt;F50,"Devuelto con retraso","Devuelto"),IF($D$5&gt;F50,"Retrasado",IF(F50-$D$5&lt;=$D$7,"Vence pronto","En préstamo"))))</f>
        <v/>
      </c>
      <c r="I50" s="16">
        <f>IF(OR(B50="",E50=""),"",IF(G50&lt;&gt;"",MAX(0,G50-F50),MAX(0,$D$5-F50)))</f>
        <v/>
      </c>
      <c r="J50" s="11">
        <f>IF(H50="Retrasado","AVISAR a "&amp;D50&amp;": «"&amp;C50&amp;"» lleva "&amp;I50&amp;" días de retraso",IF(H50="Vence pronto","Recordar a "&amp;D50&amp;" la devolución el "&amp;DAY(F50)&amp;"/"&amp;MONTH(F50),""))</f>
        <v/>
      </c>
      <c r="K50" s="21" t="n"/>
      <c r="L50" s="22">
        <f>IF(B50="","",IF(ISNA(MATCH(B50,Libros!$B$6:$B$45,0)),"Código no existe",IF(D50="","Falta el alumno",IF(E50="","Falta fecha de salida",IF(AND(G50&lt;&gt;"",G50&lt;E50),"Devolución anterior a salida",IF(AND(G50="",SUMPRODUCT(($B$10:$B$69=B50)*($E$10:$E$69&lt;&gt;"")*($G$10:$G$69=""))&gt;1),"Libro ya prestado","OK"))))))</f>
        <v/>
      </c>
      <c r="M50" s="27">
        <f>IF(AND(B50&lt;&gt;"",E50&lt;&gt;"",G50=""),B50,"")</f>
        <v/>
      </c>
      <c r="N50" s="23">
        <f>IF(H50="Retrasado",I50+(1000-ROW())/100000,"")</f>
        <v/>
      </c>
      <c r="O50" s="23">
        <f>IF(OR(D50="",E50=""),"",IF(COUNTIF($D$10:D50,D50)=1,COUNTIF($D$10:$D$69,D50)+(1000-ROW())/100000,""))</f>
        <v/>
      </c>
    </row>
    <row r="51">
      <c r="B51" s="20" t="n"/>
      <c r="C51" s="11">
        <f>IF(B51="","",IFERROR(INDEX(Libros!$C$6:$C$45,MATCH(B51,Libros!$B$6:$B$45,0)),"¿Código?"))</f>
        <v/>
      </c>
      <c r="D51" s="21" t="n"/>
      <c r="E51" s="25" t="n"/>
      <c r="F51" s="14">
        <f>IF(E51="","",E51+$D$6)</f>
        <v/>
      </c>
      <c r="G51" s="25" t="n"/>
      <c r="H51" s="22">
        <f>IF(OR(B51="",E51=""),"",IF(G51&lt;&gt;"",IF(G51&gt;F51,"Devuelto con retraso","Devuelto"),IF($D$5&gt;F51,"Retrasado",IF(F51-$D$5&lt;=$D$7,"Vence pronto","En préstamo"))))</f>
        <v/>
      </c>
      <c r="I51" s="16">
        <f>IF(OR(B51="",E51=""),"",IF(G51&lt;&gt;"",MAX(0,G51-F51),MAX(0,$D$5-F51)))</f>
        <v/>
      </c>
      <c r="J51" s="11">
        <f>IF(H51="Retrasado","AVISAR a "&amp;D51&amp;": «"&amp;C51&amp;"» lleva "&amp;I51&amp;" días de retraso",IF(H51="Vence pronto","Recordar a "&amp;D51&amp;" la devolución el "&amp;DAY(F51)&amp;"/"&amp;MONTH(F51),""))</f>
        <v/>
      </c>
      <c r="K51" s="21" t="n"/>
      <c r="L51" s="22">
        <f>IF(B51="","",IF(ISNA(MATCH(B51,Libros!$B$6:$B$45,0)),"Código no existe",IF(D51="","Falta el alumno",IF(E51="","Falta fecha de salida",IF(AND(G51&lt;&gt;"",G51&lt;E51),"Devolución anterior a salida",IF(AND(G51="",SUMPRODUCT(($B$10:$B$69=B51)*($E$10:$E$69&lt;&gt;"")*($G$10:$G$69=""))&gt;1),"Libro ya prestado","OK"))))))</f>
        <v/>
      </c>
      <c r="M51" s="27">
        <f>IF(AND(B51&lt;&gt;"",E51&lt;&gt;"",G51=""),B51,"")</f>
        <v/>
      </c>
      <c r="N51" s="23">
        <f>IF(H51="Retrasado",I51+(1000-ROW())/100000,"")</f>
        <v/>
      </c>
      <c r="O51" s="23">
        <f>IF(OR(D51="",E51=""),"",IF(COUNTIF($D$10:D51,D51)=1,COUNTIF($D$10:$D$69,D51)+(1000-ROW())/100000,""))</f>
        <v/>
      </c>
    </row>
    <row r="52">
      <c r="B52" s="20" t="n"/>
      <c r="C52" s="11">
        <f>IF(B52="","",IFERROR(INDEX(Libros!$C$6:$C$45,MATCH(B52,Libros!$B$6:$B$45,0)),"¿Código?"))</f>
        <v/>
      </c>
      <c r="D52" s="21" t="n"/>
      <c r="E52" s="25" t="n"/>
      <c r="F52" s="14">
        <f>IF(E52="","",E52+$D$6)</f>
        <v/>
      </c>
      <c r="G52" s="25" t="n"/>
      <c r="H52" s="22">
        <f>IF(OR(B52="",E52=""),"",IF(G52&lt;&gt;"",IF(G52&gt;F52,"Devuelto con retraso","Devuelto"),IF($D$5&gt;F52,"Retrasado",IF(F52-$D$5&lt;=$D$7,"Vence pronto","En préstamo"))))</f>
        <v/>
      </c>
      <c r="I52" s="16">
        <f>IF(OR(B52="",E52=""),"",IF(G52&lt;&gt;"",MAX(0,G52-F52),MAX(0,$D$5-F52)))</f>
        <v/>
      </c>
      <c r="J52" s="11">
        <f>IF(H52="Retrasado","AVISAR a "&amp;D52&amp;": «"&amp;C52&amp;"» lleva "&amp;I52&amp;" días de retraso",IF(H52="Vence pronto","Recordar a "&amp;D52&amp;" la devolución el "&amp;DAY(F52)&amp;"/"&amp;MONTH(F52),""))</f>
        <v/>
      </c>
      <c r="K52" s="21" t="n"/>
      <c r="L52" s="22">
        <f>IF(B52="","",IF(ISNA(MATCH(B52,Libros!$B$6:$B$45,0)),"Código no existe",IF(D52="","Falta el alumno",IF(E52="","Falta fecha de salida",IF(AND(G52&lt;&gt;"",G52&lt;E52),"Devolución anterior a salida",IF(AND(G52="",SUMPRODUCT(($B$10:$B$69=B52)*($E$10:$E$69&lt;&gt;"")*($G$10:$G$69=""))&gt;1),"Libro ya prestado","OK"))))))</f>
        <v/>
      </c>
      <c r="M52" s="27">
        <f>IF(AND(B52&lt;&gt;"",E52&lt;&gt;"",G52=""),B52,"")</f>
        <v/>
      </c>
      <c r="N52" s="23">
        <f>IF(H52="Retrasado",I52+(1000-ROW())/100000,"")</f>
        <v/>
      </c>
      <c r="O52" s="23">
        <f>IF(OR(D52="",E52=""),"",IF(COUNTIF($D$10:D52,D52)=1,COUNTIF($D$10:$D$69,D52)+(1000-ROW())/100000,""))</f>
        <v/>
      </c>
    </row>
    <row r="53">
      <c r="B53" s="20" t="n"/>
      <c r="C53" s="11">
        <f>IF(B53="","",IFERROR(INDEX(Libros!$C$6:$C$45,MATCH(B53,Libros!$B$6:$B$45,0)),"¿Código?"))</f>
        <v/>
      </c>
      <c r="D53" s="21" t="n"/>
      <c r="E53" s="25" t="n"/>
      <c r="F53" s="14">
        <f>IF(E53="","",E53+$D$6)</f>
        <v/>
      </c>
      <c r="G53" s="25" t="n"/>
      <c r="H53" s="22">
        <f>IF(OR(B53="",E53=""),"",IF(G53&lt;&gt;"",IF(G53&gt;F53,"Devuelto con retraso","Devuelto"),IF($D$5&gt;F53,"Retrasado",IF(F53-$D$5&lt;=$D$7,"Vence pronto","En préstamo"))))</f>
        <v/>
      </c>
      <c r="I53" s="16">
        <f>IF(OR(B53="",E53=""),"",IF(G53&lt;&gt;"",MAX(0,G53-F53),MAX(0,$D$5-F53)))</f>
        <v/>
      </c>
      <c r="J53" s="11">
        <f>IF(H53="Retrasado","AVISAR a "&amp;D53&amp;": «"&amp;C53&amp;"» lleva "&amp;I53&amp;" días de retraso",IF(H53="Vence pronto","Recordar a "&amp;D53&amp;" la devolución el "&amp;DAY(F53)&amp;"/"&amp;MONTH(F53),""))</f>
        <v/>
      </c>
      <c r="K53" s="21" t="n"/>
      <c r="L53" s="22">
        <f>IF(B53="","",IF(ISNA(MATCH(B53,Libros!$B$6:$B$45,0)),"Código no existe",IF(D53="","Falta el alumno",IF(E53="","Falta fecha de salida",IF(AND(G53&lt;&gt;"",G53&lt;E53),"Devolución anterior a salida",IF(AND(G53="",SUMPRODUCT(($B$10:$B$69=B53)*($E$10:$E$69&lt;&gt;"")*($G$10:$G$69=""))&gt;1),"Libro ya prestado","OK"))))))</f>
        <v/>
      </c>
      <c r="M53" s="27">
        <f>IF(AND(B53&lt;&gt;"",E53&lt;&gt;"",G53=""),B53,"")</f>
        <v/>
      </c>
      <c r="N53" s="23">
        <f>IF(H53="Retrasado",I53+(1000-ROW())/100000,"")</f>
        <v/>
      </c>
      <c r="O53" s="23">
        <f>IF(OR(D53="",E53=""),"",IF(COUNTIF($D$10:D53,D53)=1,COUNTIF($D$10:$D$69,D53)+(1000-ROW())/100000,""))</f>
        <v/>
      </c>
    </row>
    <row r="54">
      <c r="B54" s="20" t="n"/>
      <c r="C54" s="11">
        <f>IF(B54="","",IFERROR(INDEX(Libros!$C$6:$C$45,MATCH(B54,Libros!$B$6:$B$45,0)),"¿Código?"))</f>
        <v/>
      </c>
      <c r="D54" s="21" t="n"/>
      <c r="E54" s="25" t="n"/>
      <c r="F54" s="14">
        <f>IF(E54="","",E54+$D$6)</f>
        <v/>
      </c>
      <c r="G54" s="25" t="n"/>
      <c r="H54" s="22">
        <f>IF(OR(B54="",E54=""),"",IF(G54&lt;&gt;"",IF(G54&gt;F54,"Devuelto con retraso","Devuelto"),IF($D$5&gt;F54,"Retrasado",IF(F54-$D$5&lt;=$D$7,"Vence pronto","En préstamo"))))</f>
        <v/>
      </c>
      <c r="I54" s="16">
        <f>IF(OR(B54="",E54=""),"",IF(G54&lt;&gt;"",MAX(0,G54-F54),MAX(0,$D$5-F54)))</f>
        <v/>
      </c>
      <c r="J54" s="11">
        <f>IF(H54="Retrasado","AVISAR a "&amp;D54&amp;": «"&amp;C54&amp;"» lleva "&amp;I54&amp;" días de retraso",IF(H54="Vence pronto","Recordar a "&amp;D54&amp;" la devolución el "&amp;DAY(F54)&amp;"/"&amp;MONTH(F54),""))</f>
        <v/>
      </c>
      <c r="K54" s="21" t="n"/>
      <c r="L54" s="22">
        <f>IF(B54="","",IF(ISNA(MATCH(B54,Libros!$B$6:$B$45,0)),"Código no existe",IF(D54="","Falta el alumno",IF(E54="","Falta fecha de salida",IF(AND(G54&lt;&gt;"",G54&lt;E54),"Devolución anterior a salida",IF(AND(G54="",SUMPRODUCT(($B$10:$B$69=B54)*($E$10:$E$69&lt;&gt;"")*($G$10:$G$69=""))&gt;1),"Libro ya prestado","OK"))))))</f>
        <v/>
      </c>
      <c r="M54" s="27">
        <f>IF(AND(B54&lt;&gt;"",E54&lt;&gt;"",G54=""),B54,"")</f>
        <v/>
      </c>
      <c r="N54" s="23">
        <f>IF(H54="Retrasado",I54+(1000-ROW())/100000,"")</f>
        <v/>
      </c>
      <c r="O54" s="23">
        <f>IF(OR(D54="",E54=""),"",IF(COUNTIF($D$10:D54,D54)=1,COUNTIF($D$10:$D$69,D54)+(1000-ROW())/100000,""))</f>
        <v/>
      </c>
    </row>
    <row r="55">
      <c r="B55" s="20" t="n"/>
      <c r="C55" s="11">
        <f>IF(B55="","",IFERROR(INDEX(Libros!$C$6:$C$45,MATCH(B55,Libros!$B$6:$B$45,0)),"¿Código?"))</f>
        <v/>
      </c>
      <c r="D55" s="21" t="n"/>
      <c r="E55" s="25" t="n"/>
      <c r="F55" s="14">
        <f>IF(E55="","",E55+$D$6)</f>
        <v/>
      </c>
      <c r="G55" s="25" t="n"/>
      <c r="H55" s="22">
        <f>IF(OR(B55="",E55=""),"",IF(G55&lt;&gt;"",IF(G55&gt;F55,"Devuelto con retraso","Devuelto"),IF($D$5&gt;F55,"Retrasado",IF(F55-$D$5&lt;=$D$7,"Vence pronto","En préstamo"))))</f>
        <v/>
      </c>
      <c r="I55" s="16">
        <f>IF(OR(B55="",E55=""),"",IF(G55&lt;&gt;"",MAX(0,G55-F55),MAX(0,$D$5-F55)))</f>
        <v/>
      </c>
      <c r="J55" s="11">
        <f>IF(H55="Retrasado","AVISAR a "&amp;D55&amp;": «"&amp;C55&amp;"» lleva "&amp;I55&amp;" días de retraso",IF(H55="Vence pronto","Recordar a "&amp;D55&amp;" la devolución el "&amp;DAY(F55)&amp;"/"&amp;MONTH(F55),""))</f>
        <v/>
      </c>
      <c r="K55" s="21" t="n"/>
      <c r="L55" s="22">
        <f>IF(B55="","",IF(ISNA(MATCH(B55,Libros!$B$6:$B$45,0)),"Código no existe",IF(D55="","Falta el alumno",IF(E55="","Falta fecha de salida",IF(AND(G55&lt;&gt;"",G55&lt;E55),"Devolución anterior a salida",IF(AND(G55="",SUMPRODUCT(($B$10:$B$69=B55)*($E$10:$E$69&lt;&gt;"")*($G$10:$G$69=""))&gt;1),"Libro ya prestado","OK"))))))</f>
        <v/>
      </c>
      <c r="M55" s="27">
        <f>IF(AND(B55&lt;&gt;"",E55&lt;&gt;"",G55=""),B55,"")</f>
        <v/>
      </c>
      <c r="N55" s="23">
        <f>IF(H55="Retrasado",I55+(1000-ROW())/100000,"")</f>
        <v/>
      </c>
      <c r="O55" s="23">
        <f>IF(OR(D55="",E55=""),"",IF(COUNTIF($D$10:D55,D55)=1,COUNTIF($D$10:$D$69,D55)+(1000-ROW())/100000,""))</f>
        <v/>
      </c>
    </row>
    <row r="56">
      <c r="B56" s="20" t="n"/>
      <c r="C56" s="11">
        <f>IF(B56="","",IFERROR(INDEX(Libros!$C$6:$C$45,MATCH(B56,Libros!$B$6:$B$45,0)),"¿Código?"))</f>
        <v/>
      </c>
      <c r="D56" s="21" t="n"/>
      <c r="E56" s="25" t="n"/>
      <c r="F56" s="14">
        <f>IF(E56="","",E56+$D$6)</f>
        <v/>
      </c>
      <c r="G56" s="25" t="n"/>
      <c r="H56" s="22">
        <f>IF(OR(B56="",E56=""),"",IF(G56&lt;&gt;"",IF(G56&gt;F56,"Devuelto con retraso","Devuelto"),IF($D$5&gt;F56,"Retrasado",IF(F56-$D$5&lt;=$D$7,"Vence pronto","En préstamo"))))</f>
        <v/>
      </c>
      <c r="I56" s="16">
        <f>IF(OR(B56="",E56=""),"",IF(G56&lt;&gt;"",MAX(0,G56-F56),MAX(0,$D$5-F56)))</f>
        <v/>
      </c>
      <c r="J56" s="11">
        <f>IF(H56="Retrasado","AVISAR a "&amp;D56&amp;": «"&amp;C56&amp;"» lleva "&amp;I56&amp;" días de retraso",IF(H56="Vence pronto","Recordar a "&amp;D56&amp;" la devolución el "&amp;DAY(F56)&amp;"/"&amp;MONTH(F56),""))</f>
        <v/>
      </c>
      <c r="K56" s="21" t="n"/>
      <c r="L56" s="22">
        <f>IF(B56="","",IF(ISNA(MATCH(B56,Libros!$B$6:$B$45,0)),"Código no existe",IF(D56="","Falta el alumno",IF(E56="","Falta fecha de salida",IF(AND(G56&lt;&gt;"",G56&lt;E56),"Devolución anterior a salida",IF(AND(G56="",SUMPRODUCT(($B$10:$B$69=B56)*($E$10:$E$69&lt;&gt;"")*($G$10:$G$69=""))&gt;1),"Libro ya prestado","OK"))))))</f>
        <v/>
      </c>
      <c r="M56" s="27">
        <f>IF(AND(B56&lt;&gt;"",E56&lt;&gt;"",G56=""),B56,"")</f>
        <v/>
      </c>
      <c r="N56" s="23">
        <f>IF(H56="Retrasado",I56+(1000-ROW())/100000,"")</f>
        <v/>
      </c>
      <c r="O56" s="23">
        <f>IF(OR(D56="",E56=""),"",IF(COUNTIF($D$10:D56,D56)=1,COUNTIF($D$10:$D$69,D56)+(1000-ROW())/100000,""))</f>
        <v/>
      </c>
    </row>
    <row r="57">
      <c r="B57" s="20" t="n"/>
      <c r="C57" s="11">
        <f>IF(B57="","",IFERROR(INDEX(Libros!$C$6:$C$45,MATCH(B57,Libros!$B$6:$B$45,0)),"¿Código?"))</f>
        <v/>
      </c>
      <c r="D57" s="21" t="n"/>
      <c r="E57" s="25" t="n"/>
      <c r="F57" s="14">
        <f>IF(E57="","",E57+$D$6)</f>
        <v/>
      </c>
      <c r="G57" s="25" t="n"/>
      <c r="H57" s="22">
        <f>IF(OR(B57="",E57=""),"",IF(G57&lt;&gt;"",IF(G57&gt;F57,"Devuelto con retraso","Devuelto"),IF($D$5&gt;F57,"Retrasado",IF(F57-$D$5&lt;=$D$7,"Vence pronto","En préstamo"))))</f>
        <v/>
      </c>
      <c r="I57" s="16">
        <f>IF(OR(B57="",E57=""),"",IF(G57&lt;&gt;"",MAX(0,G57-F57),MAX(0,$D$5-F57)))</f>
        <v/>
      </c>
      <c r="J57" s="11">
        <f>IF(H57="Retrasado","AVISAR a "&amp;D57&amp;": «"&amp;C57&amp;"» lleva "&amp;I57&amp;" días de retraso",IF(H57="Vence pronto","Recordar a "&amp;D57&amp;" la devolución el "&amp;DAY(F57)&amp;"/"&amp;MONTH(F57),""))</f>
        <v/>
      </c>
      <c r="K57" s="21" t="n"/>
      <c r="L57" s="22">
        <f>IF(B57="","",IF(ISNA(MATCH(B57,Libros!$B$6:$B$45,0)),"Código no existe",IF(D57="","Falta el alumno",IF(E57="","Falta fecha de salida",IF(AND(G57&lt;&gt;"",G57&lt;E57),"Devolución anterior a salida",IF(AND(G57="",SUMPRODUCT(($B$10:$B$69=B57)*($E$10:$E$69&lt;&gt;"")*($G$10:$G$69=""))&gt;1),"Libro ya prestado","OK"))))))</f>
        <v/>
      </c>
      <c r="M57" s="27">
        <f>IF(AND(B57&lt;&gt;"",E57&lt;&gt;"",G57=""),B57,"")</f>
        <v/>
      </c>
      <c r="N57" s="23">
        <f>IF(H57="Retrasado",I57+(1000-ROW())/100000,"")</f>
        <v/>
      </c>
      <c r="O57" s="23">
        <f>IF(OR(D57="",E57=""),"",IF(COUNTIF($D$10:D57,D57)=1,COUNTIF($D$10:$D$69,D57)+(1000-ROW())/100000,""))</f>
        <v/>
      </c>
    </row>
    <row r="58">
      <c r="B58" s="20" t="n"/>
      <c r="C58" s="11">
        <f>IF(B58="","",IFERROR(INDEX(Libros!$C$6:$C$45,MATCH(B58,Libros!$B$6:$B$45,0)),"¿Código?"))</f>
        <v/>
      </c>
      <c r="D58" s="21" t="n"/>
      <c r="E58" s="25" t="n"/>
      <c r="F58" s="14">
        <f>IF(E58="","",E58+$D$6)</f>
        <v/>
      </c>
      <c r="G58" s="25" t="n"/>
      <c r="H58" s="22">
        <f>IF(OR(B58="",E58=""),"",IF(G58&lt;&gt;"",IF(G58&gt;F58,"Devuelto con retraso","Devuelto"),IF($D$5&gt;F58,"Retrasado",IF(F58-$D$5&lt;=$D$7,"Vence pronto","En préstamo"))))</f>
        <v/>
      </c>
      <c r="I58" s="16">
        <f>IF(OR(B58="",E58=""),"",IF(G58&lt;&gt;"",MAX(0,G58-F58),MAX(0,$D$5-F58)))</f>
        <v/>
      </c>
      <c r="J58" s="11">
        <f>IF(H58="Retrasado","AVISAR a "&amp;D58&amp;": «"&amp;C58&amp;"» lleva "&amp;I58&amp;" días de retraso",IF(H58="Vence pronto","Recordar a "&amp;D58&amp;" la devolución el "&amp;DAY(F58)&amp;"/"&amp;MONTH(F58),""))</f>
        <v/>
      </c>
      <c r="K58" s="21" t="n"/>
      <c r="L58" s="22">
        <f>IF(B58="","",IF(ISNA(MATCH(B58,Libros!$B$6:$B$45,0)),"Código no existe",IF(D58="","Falta el alumno",IF(E58="","Falta fecha de salida",IF(AND(G58&lt;&gt;"",G58&lt;E58),"Devolución anterior a salida",IF(AND(G58="",SUMPRODUCT(($B$10:$B$69=B58)*($E$10:$E$69&lt;&gt;"")*($G$10:$G$69=""))&gt;1),"Libro ya prestado","OK"))))))</f>
        <v/>
      </c>
      <c r="M58" s="27">
        <f>IF(AND(B58&lt;&gt;"",E58&lt;&gt;"",G58=""),B58,"")</f>
        <v/>
      </c>
      <c r="N58" s="23">
        <f>IF(H58="Retrasado",I58+(1000-ROW())/100000,"")</f>
        <v/>
      </c>
      <c r="O58" s="23">
        <f>IF(OR(D58="",E58=""),"",IF(COUNTIF($D$10:D58,D58)=1,COUNTIF($D$10:$D$69,D58)+(1000-ROW())/100000,""))</f>
        <v/>
      </c>
    </row>
    <row r="59">
      <c r="B59" s="20" t="n"/>
      <c r="C59" s="11">
        <f>IF(B59="","",IFERROR(INDEX(Libros!$C$6:$C$45,MATCH(B59,Libros!$B$6:$B$45,0)),"¿Código?"))</f>
        <v/>
      </c>
      <c r="D59" s="21" t="n"/>
      <c r="E59" s="25" t="n"/>
      <c r="F59" s="14">
        <f>IF(E59="","",E59+$D$6)</f>
        <v/>
      </c>
      <c r="G59" s="25" t="n"/>
      <c r="H59" s="22">
        <f>IF(OR(B59="",E59=""),"",IF(G59&lt;&gt;"",IF(G59&gt;F59,"Devuelto con retraso","Devuelto"),IF($D$5&gt;F59,"Retrasado",IF(F59-$D$5&lt;=$D$7,"Vence pronto","En préstamo"))))</f>
        <v/>
      </c>
      <c r="I59" s="16">
        <f>IF(OR(B59="",E59=""),"",IF(G59&lt;&gt;"",MAX(0,G59-F59),MAX(0,$D$5-F59)))</f>
        <v/>
      </c>
      <c r="J59" s="11">
        <f>IF(H59="Retrasado","AVISAR a "&amp;D59&amp;": «"&amp;C59&amp;"» lleva "&amp;I59&amp;" días de retraso",IF(H59="Vence pronto","Recordar a "&amp;D59&amp;" la devolución el "&amp;DAY(F59)&amp;"/"&amp;MONTH(F59),""))</f>
        <v/>
      </c>
      <c r="K59" s="21" t="n"/>
      <c r="L59" s="22">
        <f>IF(B59="","",IF(ISNA(MATCH(B59,Libros!$B$6:$B$45,0)),"Código no existe",IF(D59="","Falta el alumno",IF(E59="","Falta fecha de salida",IF(AND(G59&lt;&gt;"",G59&lt;E59),"Devolución anterior a salida",IF(AND(G59="",SUMPRODUCT(($B$10:$B$69=B59)*($E$10:$E$69&lt;&gt;"")*($G$10:$G$69=""))&gt;1),"Libro ya prestado","OK"))))))</f>
        <v/>
      </c>
      <c r="M59" s="27">
        <f>IF(AND(B59&lt;&gt;"",E59&lt;&gt;"",G59=""),B59,"")</f>
        <v/>
      </c>
      <c r="N59" s="23">
        <f>IF(H59="Retrasado",I59+(1000-ROW())/100000,"")</f>
        <v/>
      </c>
      <c r="O59" s="23">
        <f>IF(OR(D59="",E59=""),"",IF(COUNTIF($D$10:D59,D59)=1,COUNTIF($D$10:$D$69,D59)+(1000-ROW())/100000,""))</f>
        <v/>
      </c>
    </row>
    <row r="60">
      <c r="B60" s="20" t="n"/>
      <c r="C60" s="11">
        <f>IF(B60="","",IFERROR(INDEX(Libros!$C$6:$C$45,MATCH(B60,Libros!$B$6:$B$45,0)),"¿Código?"))</f>
        <v/>
      </c>
      <c r="D60" s="21" t="n"/>
      <c r="E60" s="25" t="n"/>
      <c r="F60" s="14">
        <f>IF(E60="","",E60+$D$6)</f>
        <v/>
      </c>
      <c r="G60" s="25" t="n"/>
      <c r="H60" s="22">
        <f>IF(OR(B60="",E60=""),"",IF(G60&lt;&gt;"",IF(G60&gt;F60,"Devuelto con retraso","Devuelto"),IF($D$5&gt;F60,"Retrasado",IF(F60-$D$5&lt;=$D$7,"Vence pronto","En préstamo"))))</f>
        <v/>
      </c>
      <c r="I60" s="16">
        <f>IF(OR(B60="",E60=""),"",IF(G60&lt;&gt;"",MAX(0,G60-F60),MAX(0,$D$5-F60)))</f>
        <v/>
      </c>
      <c r="J60" s="11">
        <f>IF(H60="Retrasado","AVISAR a "&amp;D60&amp;": «"&amp;C60&amp;"» lleva "&amp;I60&amp;" días de retraso",IF(H60="Vence pronto","Recordar a "&amp;D60&amp;" la devolución el "&amp;DAY(F60)&amp;"/"&amp;MONTH(F60),""))</f>
        <v/>
      </c>
      <c r="K60" s="21" t="n"/>
      <c r="L60" s="22">
        <f>IF(B60="","",IF(ISNA(MATCH(B60,Libros!$B$6:$B$45,0)),"Código no existe",IF(D60="","Falta el alumno",IF(E60="","Falta fecha de salida",IF(AND(G60&lt;&gt;"",G60&lt;E60),"Devolución anterior a salida",IF(AND(G60="",SUMPRODUCT(($B$10:$B$69=B60)*($E$10:$E$69&lt;&gt;"")*($G$10:$G$69=""))&gt;1),"Libro ya prestado","OK"))))))</f>
        <v/>
      </c>
      <c r="M60" s="27">
        <f>IF(AND(B60&lt;&gt;"",E60&lt;&gt;"",G60=""),B60,"")</f>
        <v/>
      </c>
      <c r="N60" s="23">
        <f>IF(H60="Retrasado",I60+(1000-ROW())/100000,"")</f>
        <v/>
      </c>
      <c r="O60" s="23">
        <f>IF(OR(D60="",E60=""),"",IF(COUNTIF($D$10:D60,D60)=1,COUNTIF($D$10:$D$69,D60)+(1000-ROW())/100000,""))</f>
        <v/>
      </c>
    </row>
    <row r="61">
      <c r="B61" s="20" t="n"/>
      <c r="C61" s="11">
        <f>IF(B61="","",IFERROR(INDEX(Libros!$C$6:$C$45,MATCH(B61,Libros!$B$6:$B$45,0)),"¿Código?"))</f>
        <v/>
      </c>
      <c r="D61" s="21" t="n"/>
      <c r="E61" s="25" t="n"/>
      <c r="F61" s="14">
        <f>IF(E61="","",E61+$D$6)</f>
        <v/>
      </c>
      <c r="G61" s="25" t="n"/>
      <c r="H61" s="22">
        <f>IF(OR(B61="",E61=""),"",IF(G61&lt;&gt;"",IF(G61&gt;F61,"Devuelto con retraso","Devuelto"),IF($D$5&gt;F61,"Retrasado",IF(F61-$D$5&lt;=$D$7,"Vence pronto","En préstamo"))))</f>
        <v/>
      </c>
      <c r="I61" s="16">
        <f>IF(OR(B61="",E61=""),"",IF(G61&lt;&gt;"",MAX(0,G61-F61),MAX(0,$D$5-F61)))</f>
        <v/>
      </c>
      <c r="J61" s="11">
        <f>IF(H61="Retrasado","AVISAR a "&amp;D61&amp;": «"&amp;C61&amp;"» lleva "&amp;I61&amp;" días de retraso",IF(H61="Vence pronto","Recordar a "&amp;D61&amp;" la devolución el "&amp;DAY(F61)&amp;"/"&amp;MONTH(F61),""))</f>
        <v/>
      </c>
      <c r="K61" s="21" t="n"/>
      <c r="L61" s="22">
        <f>IF(B61="","",IF(ISNA(MATCH(B61,Libros!$B$6:$B$45,0)),"Código no existe",IF(D61="","Falta el alumno",IF(E61="","Falta fecha de salida",IF(AND(G61&lt;&gt;"",G61&lt;E61),"Devolución anterior a salida",IF(AND(G61="",SUMPRODUCT(($B$10:$B$69=B61)*($E$10:$E$69&lt;&gt;"")*($G$10:$G$69=""))&gt;1),"Libro ya prestado","OK"))))))</f>
        <v/>
      </c>
      <c r="M61" s="27">
        <f>IF(AND(B61&lt;&gt;"",E61&lt;&gt;"",G61=""),B61,"")</f>
        <v/>
      </c>
      <c r="N61" s="23">
        <f>IF(H61="Retrasado",I61+(1000-ROW())/100000,"")</f>
        <v/>
      </c>
      <c r="O61" s="23">
        <f>IF(OR(D61="",E61=""),"",IF(COUNTIF($D$10:D61,D61)=1,COUNTIF($D$10:$D$69,D61)+(1000-ROW())/100000,""))</f>
        <v/>
      </c>
    </row>
    <row r="62">
      <c r="B62" s="20" t="n"/>
      <c r="C62" s="11">
        <f>IF(B62="","",IFERROR(INDEX(Libros!$C$6:$C$45,MATCH(B62,Libros!$B$6:$B$45,0)),"¿Código?"))</f>
        <v/>
      </c>
      <c r="D62" s="21" t="n"/>
      <c r="E62" s="25" t="n"/>
      <c r="F62" s="14">
        <f>IF(E62="","",E62+$D$6)</f>
        <v/>
      </c>
      <c r="G62" s="25" t="n"/>
      <c r="H62" s="22">
        <f>IF(OR(B62="",E62=""),"",IF(G62&lt;&gt;"",IF(G62&gt;F62,"Devuelto con retraso","Devuelto"),IF($D$5&gt;F62,"Retrasado",IF(F62-$D$5&lt;=$D$7,"Vence pronto","En préstamo"))))</f>
        <v/>
      </c>
      <c r="I62" s="16">
        <f>IF(OR(B62="",E62=""),"",IF(G62&lt;&gt;"",MAX(0,G62-F62),MAX(0,$D$5-F62)))</f>
        <v/>
      </c>
      <c r="J62" s="11">
        <f>IF(H62="Retrasado","AVISAR a "&amp;D62&amp;": «"&amp;C62&amp;"» lleva "&amp;I62&amp;" días de retraso",IF(H62="Vence pronto","Recordar a "&amp;D62&amp;" la devolución el "&amp;DAY(F62)&amp;"/"&amp;MONTH(F62),""))</f>
        <v/>
      </c>
      <c r="K62" s="21" t="n"/>
      <c r="L62" s="22">
        <f>IF(B62="","",IF(ISNA(MATCH(B62,Libros!$B$6:$B$45,0)),"Código no existe",IF(D62="","Falta el alumno",IF(E62="","Falta fecha de salida",IF(AND(G62&lt;&gt;"",G62&lt;E62),"Devolución anterior a salida",IF(AND(G62="",SUMPRODUCT(($B$10:$B$69=B62)*($E$10:$E$69&lt;&gt;"")*($G$10:$G$69=""))&gt;1),"Libro ya prestado","OK"))))))</f>
        <v/>
      </c>
      <c r="M62" s="27">
        <f>IF(AND(B62&lt;&gt;"",E62&lt;&gt;"",G62=""),B62,"")</f>
        <v/>
      </c>
      <c r="N62" s="23">
        <f>IF(H62="Retrasado",I62+(1000-ROW())/100000,"")</f>
        <v/>
      </c>
      <c r="O62" s="23">
        <f>IF(OR(D62="",E62=""),"",IF(COUNTIF($D$10:D62,D62)=1,COUNTIF($D$10:$D$69,D62)+(1000-ROW())/100000,""))</f>
        <v/>
      </c>
    </row>
    <row r="63">
      <c r="B63" s="20" t="n"/>
      <c r="C63" s="11">
        <f>IF(B63="","",IFERROR(INDEX(Libros!$C$6:$C$45,MATCH(B63,Libros!$B$6:$B$45,0)),"¿Código?"))</f>
        <v/>
      </c>
      <c r="D63" s="21" t="n"/>
      <c r="E63" s="25" t="n"/>
      <c r="F63" s="14">
        <f>IF(E63="","",E63+$D$6)</f>
        <v/>
      </c>
      <c r="G63" s="25" t="n"/>
      <c r="H63" s="22">
        <f>IF(OR(B63="",E63=""),"",IF(G63&lt;&gt;"",IF(G63&gt;F63,"Devuelto con retraso","Devuelto"),IF($D$5&gt;F63,"Retrasado",IF(F63-$D$5&lt;=$D$7,"Vence pronto","En préstamo"))))</f>
        <v/>
      </c>
      <c r="I63" s="16">
        <f>IF(OR(B63="",E63=""),"",IF(G63&lt;&gt;"",MAX(0,G63-F63),MAX(0,$D$5-F63)))</f>
        <v/>
      </c>
      <c r="J63" s="11">
        <f>IF(H63="Retrasado","AVISAR a "&amp;D63&amp;": «"&amp;C63&amp;"» lleva "&amp;I63&amp;" días de retraso",IF(H63="Vence pronto","Recordar a "&amp;D63&amp;" la devolución el "&amp;DAY(F63)&amp;"/"&amp;MONTH(F63),""))</f>
        <v/>
      </c>
      <c r="K63" s="21" t="n"/>
      <c r="L63" s="22">
        <f>IF(B63="","",IF(ISNA(MATCH(B63,Libros!$B$6:$B$45,0)),"Código no existe",IF(D63="","Falta el alumno",IF(E63="","Falta fecha de salida",IF(AND(G63&lt;&gt;"",G63&lt;E63),"Devolución anterior a salida",IF(AND(G63="",SUMPRODUCT(($B$10:$B$69=B63)*($E$10:$E$69&lt;&gt;"")*($G$10:$G$69=""))&gt;1),"Libro ya prestado","OK"))))))</f>
        <v/>
      </c>
      <c r="M63" s="27">
        <f>IF(AND(B63&lt;&gt;"",E63&lt;&gt;"",G63=""),B63,"")</f>
        <v/>
      </c>
      <c r="N63" s="23">
        <f>IF(H63="Retrasado",I63+(1000-ROW())/100000,"")</f>
        <v/>
      </c>
      <c r="O63" s="23">
        <f>IF(OR(D63="",E63=""),"",IF(COUNTIF($D$10:D63,D63)=1,COUNTIF($D$10:$D$69,D63)+(1000-ROW())/100000,""))</f>
        <v/>
      </c>
    </row>
    <row r="64">
      <c r="B64" s="20" t="n"/>
      <c r="C64" s="11">
        <f>IF(B64="","",IFERROR(INDEX(Libros!$C$6:$C$45,MATCH(B64,Libros!$B$6:$B$45,0)),"¿Código?"))</f>
        <v/>
      </c>
      <c r="D64" s="21" t="n"/>
      <c r="E64" s="25" t="n"/>
      <c r="F64" s="14">
        <f>IF(E64="","",E64+$D$6)</f>
        <v/>
      </c>
      <c r="G64" s="25" t="n"/>
      <c r="H64" s="22">
        <f>IF(OR(B64="",E64=""),"",IF(G64&lt;&gt;"",IF(G64&gt;F64,"Devuelto con retraso","Devuelto"),IF($D$5&gt;F64,"Retrasado",IF(F64-$D$5&lt;=$D$7,"Vence pronto","En préstamo"))))</f>
        <v/>
      </c>
      <c r="I64" s="16">
        <f>IF(OR(B64="",E64=""),"",IF(G64&lt;&gt;"",MAX(0,G64-F64),MAX(0,$D$5-F64)))</f>
        <v/>
      </c>
      <c r="J64" s="11">
        <f>IF(H64="Retrasado","AVISAR a "&amp;D64&amp;": «"&amp;C64&amp;"» lleva "&amp;I64&amp;" días de retraso",IF(H64="Vence pronto","Recordar a "&amp;D64&amp;" la devolución el "&amp;DAY(F64)&amp;"/"&amp;MONTH(F64),""))</f>
        <v/>
      </c>
      <c r="K64" s="21" t="n"/>
      <c r="L64" s="22">
        <f>IF(B64="","",IF(ISNA(MATCH(B64,Libros!$B$6:$B$45,0)),"Código no existe",IF(D64="","Falta el alumno",IF(E64="","Falta fecha de salida",IF(AND(G64&lt;&gt;"",G64&lt;E64),"Devolución anterior a salida",IF(AND(G64="",SUMPRODUCT(($B$10:$B$69=B64)*($E$10:$E$69&lt;&gt;"")*($G$10:$G$69=""))&gt;1),"Libro ya prestado","OK"))))))</f>
        <v/>
      </c>
      <c r="M64" s="27">
        <f>IF(AND(B64&lt;&gt;"",E64&lt;&gt;"",G64=""),B64,"")</f>
        <v/>
      </c>
      <c r="N64" s="23">
        <f>IF(H64="Retrasado",I64+(1000-ROW())/100000,"")</f>
        <v/>
      </c>
      <c r="O64" s="23">
        <f>IF(OR(D64="",E64=""),"",IF(COUNTIF($D$10:D64,D64)=1,COUNTIF($D$10:$D$69,D64)+(1000-ROW())/100000,""))</f>
        <v/>
      </c>
    </row>
    <row r="65">
      <c r="B65" s="20" t="n"/>
      <c r="C65" s="11">
        <f>IF(B65="","",IFERROR(INDEX(Libros!$C$6:$C$45,MATCH(B65,Libros!$B$6:$B$45,0)),"¿Código?"))</f>
        <v/>
      </c>
      <c r="D65" s="21" t="n"/>
      <c r="E65" s="25" t="n"/>
      <c r="F65" s="14">
        <f>IF(E65="","",E65+$D$6)</f>
        <v/>
      </c>
      <c r="G65" s="25" t="n"/>
      <c r="H65" s="22">
        <f>IF(OR(B65="",E65=""),"",IF(G65&lt;&gt;"",IF(G65&gt;F65,"Devuelto con retraso","Devuelto"),IF($D$5&gt;F65,"Retrasado",IF(F65-$D$5&lt;=$D$7,"Vence pronto","En préstamo"))))</f>
        <v/>
      </c>
      <c r="I65" s="16">
        <f>IF(OR(B65="",E65=""),"",IF(G65&lt;&gt;"",MAX(0,G65-F65),MAX(0,$D$5-F65)))</f>
        <v/>
      </c>
      <c r="J65" s="11">
        <f>IF(H65="Retrasado","AVISAR a "&amp;D65&amp;": «"&amp;C65&amp;"» lleva "&amp;I65&amp;" días de retraso",IF(H65="Vence pronto","Recordar a "&amp;D65&amp;" la devolución el "&amp;DAY(F65)&amp;"/"&amp;MONTH(F65),""))</f>
        <v/>
      </c>
      <c r="K65" s="21" t="n"/>
      <c r="L65" s="22">
        <f>IF(B65="","",IF(ISNA(MATCH(B65,Libros!$B$6:$B$45,0)),"Código no existe",IF(D65="","Falta el alumno",IF(E65="","Falta fecha de salida",IF(AND(G65&lt;&gt;"",G65&lt;E65),"Devolución anterior a salida",IF(AND(G65="",SUMPRODUCT(($B$10:$B$69=B65)*($E$10:$E$69&lt;&gt;"")*($G$10:$G$69=""))&gt;1),"Libro ya prestado","OK"))))))</f>
        <v/>
      </c>
      <c r="M65" s="27">
        <f>IF(AND(B65&lt;&gt;"",E65&lt;&gt;"",G65=""),B65,"")</f>
        <v/>
      </c>
      <c r="N65" s="23">
        <f>IF(H65="Retrasado",I65+(1000-ROW())/100000,"")</f>
        <v/>
      </c>
      <c r="O65" s="23">
        <f>IF(OR(D65="",E65=""),"",IF(COUNTIF($D$10:D65,D65)=1,COUNTIF($D$10:$D$69,D65)+(1000-ROW())/100000,""))</f>
        <v/>
      </c>
    </row>
    <row r="66">
      <c r="B66" s="20" t="n"/>
      <c r="C66" s="11">
        <f>IF(B66="","",IFERROR(INDEX(Libros!$C$6:$C$45,MATCH(B66,Libros!$B$6:$B$45,0)),"¿Código?"))</f>
        <v/>
      </c>
      <c r="D66" s="21" t="n"/>
      <c r="E66" s="25" t="n"/>
      <c r="F66" s="14">
        <f>IF(E66="","",E66+$D$6)</f>
        <v/>
      </c>
      <c r="G66" s="25" t="n"/>
      <c r="H66" s="22">
        <f>IF(OR(B66="",E66=""),"",IF(G66&lt;&gt;"",IF(G66&gt;F66,"Devuelto con retraso","Devuelto"),IF($D$5&gt;F66,"Retrasado",IF(F66-$D$5&lt;=$D$7,"Vence pronto","En préstamo"))))</f>
        <v/>
      </c>
      <c r="I66" s="16">
        <f>IF(OR(B66="",E66=""),"",IF(G66&lt;&gt;"",MAX(0,G66-F66),MAX(0,$D$5-F66)))</f>
        <v/>
      </c>
      <c r="J66" s="11">
        <f>IF(H66="Retrasado","AVISAR a "&amp;D66&amp;": «"&amp;C66&amp;"» lleva "&amp;I66&amp;" días de retraso",IF(H66="Vence pronto","Recordar a "&amp;D66&amp;" la devolución el "&amp;DAY(F66)&amp;"/"&amp;MONTH(F66),""))</f>
        <v/>
      </c>
      <c r="K66" s="21" t="n"/>
      <c r="L66" s="22">
        <f>IF(B66="","",IF(ISNA(MATCH(B66,Libros!$B$6:$B$45,0)),"Código no existe",IF(D66="","Falta el alumno",IF(E66="","Falta fecha de salida",IF(AND(G66&lt;&gt;"",G66&lt;E66),"Devolución anterior a salida",IF(AND(G66="",SUMPRODUCT(($B$10:$B$69=B66)*($E$10:$E$69&lt;&gt;"")*($G$10:$G$69=""))&gt;1),"Libro ya prestado","OK"))))))</f>
        <v/>
      </c>
      <c r="M66" s="27">
        <f>IF(AND(B66&lt;&gt;"",E66&lt;&gt;"",G66=""),B66,"")</f>
        <v/>
      </c>
      <c r="N66" s="23">
        <f>IF(H66="Retrasado",I66+(1000-ROW())/100000,"")</f>
        <v/>
      </c>
      <c r="O66" s="23">
        <f>IF(OR(D66="",E66=""),"",IF(COUNTIF($D$10:D66,D66)=1,COUNTIF($D$10:$D$69,D66)+(1000-ROW())/100000,""))</f>
        <v/>
      </c>
    </row>
    <row r="67">
      <c r="B67" s="20" t="n"/>
      <c r="C67" s="11">
        <f>IF(B67="","",IFERROR(INDEX(Libros!$C$6:$C$45,MATCH(B67,Libros!$B$6:$B$45,0)),"¿Código?"))</f>
        <v/>
      </c>
      <c r="D67" s="21" t="n"/>
      <c r="E67" s="25" t="n"/>
      <c r="F67" s="14">
        <f>IF(E67="","",E67+$D$6)</f>
        <v/>
      </c>
      <c r="G67" s="25" t="n"/>
      <c r="H67" s="22">
        <f>IF(OR(B67="",E67=""),"",IF(G67&lt;&gt;"",IF(G67&gt;F67,"Devuelto con retraso","Devuelto"),IF($D$5&gt;F67,"Retrasado",IF(F67-$D$5&lt;=$D$7,"Vence pronto","En préstamo"))))</f>
        <v/>
      </c>
      <c r="I67" s="16">
        <f>IF(OR(B67="",E67=""),"",IF(G67&lt;&gt;"",MAX(0,G67-F67),MAX(0,$D$5-F67)))</f>
        <v/>
      </c>
      <c r="J67" s="11">
        <f>IF(H67="Retrasado","AVISAR a "&amp;D67&amp;": «"&amp;C67&amp;"» lleva "&amp;I67&amp;" días de retraso",IF(H67="Vence pronto","Recordar a "&amp;D67&amp;" la devolución el "&amp;DAY(F67)&amp;"/"&amp;MONTH(F67),""))</f>
        <v/>
      </c>
      <c r="K67" s="21" t="n"/>
      <c r="L67" s="22">
        <f>IF(B67="","",IF(ISNA(MATCH(B67,Libros!$B$6:$B$45,0)),"Código no existe",IF(D67="","Falta el alumno",IF(E67="","Falta fecha de salida",IF(AND(G67&lt;&gt;"",G67&lt;E67),"Devolución anterior a salida",IF(AND(G67="",SUMPRODUCT(($B$10:$B$69=B67)*($E$10:$E$69&lt;&gt;"")*($G$10:$G$69=""))&gt;1),"Libro ya prestado","OK"))))))</f>
        <v/>
      </c>
      <c r="M67" s="27">
        <f>IF(AND(B67&lt;&gt;"",E67&lt;&gt;"",G67=""),B67,"")</f>
        <v/>
      </c>
      <c r="N67" s="23">
        <f>IF(H67="Retrasado",I67+(1000-ROW())/100000,"")</f>
        <v/>
      </c>
      <c r="O67" s="23">
        <f>IF(OR(D67="",E67=""),"",IF(COUNTIF($D$10:D67,D67)=1,COUNTIF($D$10:$D$69,D67)+(1000-ROW())/100000,""))</f>
        <v/>
      </c>
    </row>
    <row r="68">
      <c r="B68" s="20" t="n"/>
      <c r="C68" s="11">
        <f>IF(B68="","",IFERROR(INDEX(Libros!$C$6:$C$45,MATCH(B68,Libros!$B$6:$B$45,0)),"¿Código?"))</f>
        <v/>
      </c>
      <c r="D68" s="21" t="n"/>
      <c r="E68" s="25" t="n"/>
      <c r="F68" s="14">
        <f>IF(E68="","",E68+$D$6)</f>
        <v/>
      </c>
      <c r="G68" s="25" t="n"/>
      <c r="H68" s="22">
        <f>IF(OR(B68="",E68=""),"",IF(G68&lt;&gt;"",IF(G68&gt;F68,"Devuelto con retraso","Devuelto"),IF($D$5&gt;F68,"Retrasado",IF(F68-$D$5&lt;=$D$7,"Vence pronto","En préstamo"))))</f>
        <v/>
      </c>
      <c r="I68" s="16">
        <f>IF(OR(B68="",E68=""),"",IF(G68&lt;&gt;"",MAX(0,G68-F68),MAX(0,$D$5-F68)))</f>
        <v/>
      </c>
      <c r="J68" s="11">
        <f>IF(H68="Retrasado","AVISAR a "&amp;D68&amp;": «"&amp;C68&amp;"» lleva "&amp;I68&amp;" días de retraso",IF(H68="Vence pronto","Recordar a "&amp;D68&amp;" la devolución el "&amp;DAY(F68)&amp;"/"&amp;MONTH(F68),""))</f>
        <v/>
      </c>
      <c r="K68" s="21" t="n"/>
      <c r="L68" s="22">
        <f>IF(B68="","",IF(ISNA(MATCH(B68,Libros!$B$6:$B$45,0)),"Código no existe",IF(D68="","Falta el alumno",IF(E68="","Falta fecha de salida",IF(AND(G68&lt;&gt;"",G68&lt;E68),"Devolución anterior a salida",IF(AND(G68="",SUMPRODUCT(($B$10:$B$69=B68)*($E$10:$E$69&lt;&gt;"")*($G$10:$G$69=""))&gt;1),"Libro ya prestado","OK"))))))</f>
        <v/>
      </c>
      <c r="M68" s="27">
        <f>IF(AND(B68&lt;&gt;"",E68&lt;&gt;"",G68=""),B68,"")</f>
        <v/>
      </c>
      <c r="N68" s="23">
        <f>IF(H68="Retrasado",I68+(1000-ROW())/100000,"")</f>
        <v/>
      </c>
      <c r="O68" s="23">
        <f>IF(OR(D68="",E68=""),"",IF(COUNTIF($D$10:D68,D68)=1,COUNTIF($D$10:$D$69,D68)+(1000-ROW())/100000,""))</f>
        <v/>
      </c>
    </row>
    <row r="69">
      <c r="B69" s="20" t="n"/>
      <c r="C69" s="11">
        <f>IF(B69="","",IFERROR(INDEX(Libros!$C$6:$C$45,MATCH(B69,Libros!$B$6:$B$45,0)),"¿Código?"))</f>
        <v/>
      </c>
      <c r="D69" s="21" t="n"/>
      <c r="E69" s="25" t="n"/>
      <c r="F69" s="14">
        <f>IF(E69="","",E69+$D$6)</f>
        <v/>
      </c>
      <c r="G69" s="25" t="n"/>
      <c r="H69" s="22">
        <f>IF(OR(B69="",E69=""),"",IF(G69&lt;&gt;"",IF(G69&gt;F69,"Devuelto con retraso","Devuelto"),IF($D$5&gt;F69,"Retrasado",IF(F69-$D$5&lt;=$D$7,"Vence pronto","En préstamo"))))</f>
        <v/>
      </c>
      <c r="I69" s="16">
        <f>IF(OR(B69="",E69=""),"",IF(G69&lt;&gt;"",MAX(0,G69-F69),MAX(0,$D$5-F69)))</f>
        <v/>
      </c>
      <c r="J69" s="11">
        <f>IF(H69="Retrasado","AVISAR a "&amp;D69&amp;": «"&amp;C69&amp;"» lleva "&amp;I69&amp;" días de retraso",IF(H69="Vence pronto","Recordar a "&amp;D69&amp;" la devolución el "&amp;DAY(F69)&amp;"/"&amp;MONTH(F69),""))</f>
        <v/>
      </c>
      <c r="K69" s="21" t="n"/>
      <c r="L69" s="22">
        <f>IF(B69="","",IF(ISNA(MATCH(B69,Libros!$B$6:$B$45,0)),"Código no existe",IF(D69="","Falta el alumno",IF(E69="","Falta fecha de salida",IF(AND(G69&lt;&gt;"",G69&lt;E69),"Devolución anterior a salida",IF(AND(G69="",SUMPRODUCT(($B$10:$B$69=B69)*($E$10:$E$69&lt;&gt;"")*($G$10:$G$69=""))&gt;1),"Libro ya prestado","OK"))))))</f>
        <v/>
      </c>
      <c r="M69" s="27">
        <f>IF(AND(B69&lt;&gt;"",E69&lt;&gt;"",G69=""),B69,"")</f>
        <v/>
      </c>
      <c r="N69" s="23">
        <f>IF(H69="Retrasado",I69+(1000-ROW())/100000,"")</f>
        <v/>
      </c>
      <c r="O69" s="23">
        <f>IF(OR(D69="",E69=""),"",IF(COUNTIF($D$10:D69,D69)=1,COUNTIF($D$10:$D$69,D69)+(1000-ROW())/100000,""))</f>
        <v/>
      </c>
    </row>
    <row r="70">
      <c r="B70" s="18" t="inlineStr">
        <is>
          <t>TOTAL</t>
        </is>
      </c>
      <c r="E70" s="24">
        <f>COUNT(E10:E69)&amp;" salidas"</f>
        <v/>
      </c>
      <c r="G70" s="24">
        <f>COUNT(G10:G69)&amp;" devueltos"</f>
        <v/>
      </c>
      <c r="I70" s="19">
        <f>SUMIF(H10:H69,"Retrasado",I10:I69)</f>
        <v/>
      </c>
    </row>
    <row r="71">
      <c r="B71" s="15" t="inlineStr">
        <is>
          <t>Elige el código en el desplegable: el título aparece solo. Las columnas M, N y O son auxiliares (no tocar). Revisa la columna Control: debe decir OK en todas las filas.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5">
    <mergeCell ref="B6:C6"/>
    <mergeCell ref="B7:C7"/>
    <mergeCell ref="B5:C5"/>
    <mergeCell ref="B3:L3"/>
    <mergeCell ref="B2:L2"/>
  </mergeCells>
  <conditionalFormatting sqref="B10:L69">
    <cfRule type="expression" priority="1" dxfId="4">
      <formula>$H10="Retrasado"</formula>
    </cfRule>
    <cfRule type="expression" priority="2" dxfId="0">
      <formula>MOD(ROW(),2)=0</formula>
    </cfRule>
  </conditionalFormatting>
  <conditionalFormatting sqref="H10:H69">
    <cfRule type="cellIs" priority="3" operator="equal" dxfId="3">
      <formula>"Retrasado"</formula>
    </cfRule>
    <cfRule type="cellIs" priority="4" operator="equal" dxfId="1">
      <formula>"Vence pronto"</formula>
    </cfRule>
    <cfRule type="cellIs" priority="5" operator="equal" dxfId="2">
      <formula>"Devuelto"</formula>
    </cfRule>
    <cfRule type="cellIs" priority="6" operator="equal" dxfId="1">
      <formula>"Devuelto con retraso"</formula>
    </cfRule>
    <cfRule type="cellIs" priority="7" operator="equal" dxfId="5">
      <formula>"En préstamo"</formula>
    </cfRule>
  </conditionalFormatting>
  <conditionalFormatting sqref="L10:L69">
    <cfRule type="expression" priority="8" dxfId="3">
      <formula>AND(L10&lt;&gt;"",L10&lt;&gt;"OK")</formula>
    </cfRule>
  </conditionalFormatting>
  <dataValidations count="1">
    <dataValidation sqref="B10:B69" showDropDown="0" showInputMessage="0" showErrorMessage="0" allowBlank="1" type="list">
      <formula1>=Libros!$B$6:$B$45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la biblioteca de aula</t>
        </is>
      </c>
    </row>
    <row r="3">
      <c r="B3" s="3" t="inlineStr">
        <is>
          <t>Plantilla gratuita de Plantillas de Cálculo · plantillasdecalculo.com</t>
        </is>
      </c>
    </row>
    <row r="5">
      <c r="B5" s="8" t="inlineStr">
        <is>
          <t>CÓMO USARLA</t>
        </is>
      </c>
    </row>
    <row r="6" ht="30" customHeight="1">
      <c r="B6" s="28" t="inlineStr">
        <is>
          <t>1.  Hoja «Libros»: da de alta cada ejemplar en una fila (filas 6 a 45) con su código único (LIB-001…), título, autor, género, nivel, ubicación y estado de conservación. Usa los desplegables para no escribir distinto lo mismo.</t>
        </is>
      </c>
    </row>
    <row r="7" ht="30" customHeight="1">
      <c r="B7" s="28" t="inlineStr">
        <is>
          <t>2.  Pega el mismo código en una etiqueta del lomo: te servirá para anotar los préstamos en segundos.</t>
        </is>
      </c>
    </row>
    <row r="8" ht="30" customHeight="1">
      <c r="B8" s="28" t="inlineStr">
        <is>
          <t>3.  Hoja «Préstamos», celda D5: deja la fecha de control en =HOY() (se actualiza sola) o escribe una fecha para simular. En D6 fija el plazo de préstamo en días y en D7 los días de aviso previo al vencimiento.</t>
        </is>
      </c>
    </row>
    <row r="9" ht="30" customHeight="1">
      <c r="B9" s="28" t="inlineStr">
        <is>
          <t>4.  Cuando un alumno se lleve un libro, escribe en una fila libre el código (desplegable), el nombre del alumno y la fecha de salida. El título y la devolución prevista aparecen solos.</t>
        </is>
      </c>
    </row>
    <row r="10" ht="30" customHeight="1">
      <c r="B10" s="28" t="inlineStr">
        <is>
          <t>5.  Cuando devuelva el libro, escribe su fecha en «Fecha de devolución» de esa misma fila. El préstamo pasa a «Devuelto» y el libro vuelve a figurar como Disponible en la hoja Libros.</t>
        </is>
      </c>
    </row>
    <row r="11" ht="30" customHeight="1">
      <c r="B11" s="28" t="inlineStr">
        <is>
          <t>6.  Revisa la columna «Estado» y «Aviso»: las filas en rojo son devoluciones retrasadas y el texto de Aviso te dice a quién reclamar qué libro.</t>
        </is>
      </c>
    </row>
    <row r="12" ht="30" customHeight="1">
      <c r="B12" s="28" t="inlineStr">
        <is>
          <t>7.  Comprueba que la columna «Control» diga OK. Te avisa de códigos que no existen, libros prestados dos veces a la vez o fechas de devolución anteriores a la salida.</t>
        </is>
      </c>
    </row>
    <row r="13" ht="30" customHeight="1">
      <c r="B13" s="28" t="inlineStr">
        <is>
          <t>8.  Hoja «Panel»: consulta los KPIs, los libros más prestados, la lista de avisos, los alumnos que más leen, el reparto por género y los dos gráficos.</t>
        </is>
      </c>
    </row>
    <row r="15">
      <c r="B15" s="8" t="inlineStr">
        <is>
          <t>CONSEJOS</t>
        </is>
      </c>
    </row>
    <row r="16" ht="30" customHeight="1">
      <c r="B16" s="28" t="inlineStr">
        <is>
          <t>•  Los datos son un ejemplo ficticio: borra las celdas crema de ejemplo (sin tocar las verdes) y escribe los tuyos. Las filas vacías no dan error.</t>
        </is>
      </c>
    </row>
    <row r="17" ht="30" customHeight="1">
      <c r="B17" s="28" t="inlineStr">
        <is>
          <t>•  Capacidad: 40 libros y 60 préstamos. Para más, desprotege la hoja (sin contraseña), copia la última fila y amplía los rangos de las fórmulas, o abre un archivo nuevo cada curso.</t>
        </is>
      </c>
    </row>
    <row r="18" ht="18" customHeight="1">
      <c r="B18" s="28" t="inlineStr">
        <is>
          <t>•  Escribe el nombre del alumno siempre igual («Lucía M.»): el Panel agrupa por nombre exacto.</t>
        </is>
      </c>
    </row>
    <row r="19" ht="30" customHeight="1">
      <c r="B19" s="28" t="inlineStr">
        <is>
          <t>•  Un libro con estado «Deteriorado» puede seguir prestándose: el estado es solo informativo para decidir cuándo reparar o reponer.</t>
        </is>
      </c>
    </row>
    <row r="20" ht="30" customHeight="1">
      <c r="B20" s="28" t="inlineStr">
        <is>
          <t>•  Las celdas con fondo crema y texto azul son editables; el resto está protegido sin contraseña (Revisar &gt; Desproteger hoja).</t>
        </is>
      </c>
    </row>
    <row r="22">
      <c r="B22" s="29" t="inlineStr">
        <is>
          <t>Las celdas con fondo crema y texto azul son para rellenar; las verdes se calculan solas.</t>
        </is>
      </c>
    </row>
    <row r="24" ht="44" customHeight="1">
      <c r="B24" s="30" t="inlineStr">
        <is>
          <t>Protección de datos: usa solo nombres de pila e inicial y guarda el archivo en un equipo del centro. Evita incluir datos personales de los alumnos o sus familias, y sigue la normativa de tu centro sobre tratamiento de datos.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tabSelected="0" workbookViewId="0">
      <selection activeCell="A1" sqref="A1"/>
    </sheetView>
  </sheetViews>
  <sheetFormatPr baseColWidth="8" defaultRowHeight="15"/>
  <sheetData>
    <row r="1">
      <c r="A1" t="inlineStr">
        <is>
          <t>Género</t>
        </is>
      </c>
      <c r="B1" t="inlineStr">
        <is>
          <t>Nivel</t>
        </is>
      </c>
      <c r="C1" t="inlineStr">
        <is>
          <t>Ubicación</t>
        </is>
      </c>
      <c r="D1" t="inlineStr">
        <is>
          <t>Conservación</t>
        </is>
      </c>
    </row>
    <row r="2">
      <c r="A2" t="inlineStr">
        <is>
          <t>Narrativa</t>
        </is>
      </c>
      <c r="B2" t="inlineStr">
        <is>
          <t>1º-2º</t>
        </is>
      </c>
      <c r="C2" t="inlineStr">
        <is>
          <t>Estantería A</t>
        </is>
      </c>
      <c r="D2" t="inlineStr">
        <is>
          <t>Nuevo</t>
        </is>
      </c>
    </row>
    <row r="3">
      <c r="A3" t="inlineStr">
        <is>
          <t>Cómic y manga</t>
        </is>
      </c>
      <c r="B3" t="inlineStr">
        <is>
          <t>3º-4º</t>
        </is>
      </c>
      <c r="C3" t="inlineStr">
        <is>
          <t>Estantería B</t>
        </is>
      </c>
      <c r="D3" t="inlineStr">
        <is>
          <t>Bueno</t>
        </is>
      </c>
    </row>
    <row r="4">
      <c r="A4" t="inlineStr">
        <is>
          <t>Aventuras</t>
        </is>
      </c>
      <c r="B4" t="inlineStr">
        <is>
          <t>5º-6º</t>
        </is>
      </c>
      <c r="C4" t="inlineStr">
        <is>
          <t>Estantería C</t>
        </is>
      </c>
      <c r="D4" t="inlineStr">
        <is>
          <t>Regular</t>
        </is>
      </c>
    </row>
    <row r="5">
      <c r="A5" t="inlineStr">
        <is>
          <t>Misterio</t>
        </is>
      </c>
      <c r="C5" t="inlineStr">
        <is>
          <t>Caja de cómics</t>
        </is>
      </c>
      <c r="D5" t="inlineStr">
        <is>
          <t>Deteriorado</t>
        </is>
      </c>
    </row>
    <row r="6">
      <c r="A6" t="inlineStr">
        <is>
          <t>Ciencia y naturaleza</t>
        </is>
      </c>
    </row>
    <row r="7">
      <c r="A7" t="inlineStr">
        <is>
          <t>Poesía y teatro</t>
        </is>
      </c>
    </row>
    <row r="8">
      <c r="A8" t="inlineStr">
        <is>
          <t>Biografías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2026-10-03T09:48:29Z</dcterms:created>
  <dcterms:modified xmlns:dcterms="http://purl.org/dc/terms/" xmlns:xsi="http://www.w3.org/2001/XMLSchema-instance" xsi:type="dcterms:W3CDTF">2026-10-03T09:48:29Z</dcterms:modified>
</cp:coreProperties>
</file>