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Bote" sheetId="2" state="visible" r:id="rId2"/>
    <sheet xmlns:r="http://schemas.openxmlformats.org/officeDocument/2006/relationships" name="Participantes" sheetId="3" state="visible" r:id="rId3"/>
    <sheet xmlns:r="http://schemas.openxmlformats.org/officeDocument/2006/relationships" name="Gasto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0.0000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color rgb="00047857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color rgb="00FFFFFF"/>
      <sz val="9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64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1" fontId="13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14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164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" fontId="6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8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7" fontId="15" fillId="0" borderId="1" applyAlignment="1" pivotButton="0" quotePrefix="0" xfId="0">
      <alignment vertical="center"/>
    </xf>
    <xf numFmtId="0" fontId="9" fillId="0" borderId="0" pivotButton="0" quotePrefix="0" xfId="0"/>
    <xf numFmtId="1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  <xf numFmtId="9" fontId="7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vertical="center"/>
    </xf>
    <xf numFmtId="1" fontId="11" fillId="5" borderId="1" applyAlignment="1" pivotButton="0" quotePrefix="0" xfId="0">
      <alignment vertical="center"/>
    </xf>
    <xf numFmtId="164" fontId="11" fillId="5" borderId="1" applyAlignment="1" pivotButton="0" quotePrefix="0" xfId="0">
      <alignment vertical="center"/>
    </xf>
    <xf numFmtId="9" fontId="11" fillId="5" borderId="1" applyAlignment="1" pivotButton="0" quotePrefix="0" xfId="0">
      <alignment vertical="center"/>
    </xf>
    <xf numFmtId="0" fontId="7" fillId="6" borderId="1" applyAlignment="1" pivotButton="0" quotePrefix="0" xfId="0">
      <alignment vertical="top" wrapText="1" indent="1"/>
    </xf>
    <xf numFmtId="0" fontId="4" fillId="3" borderId="1" applyAlignment="1" applyProtection="1" pivotButton="0" quotePrefix="0" xfId="0">
      <alignment horizontal="left" vertical="center" indent="1"/>
      <protection locked="0" hidden="0"/>
    </xf>
    <xf numFmtId="0" fontId="2" fillId="0" borderId="0" applyAlignment="1" pivotButton="0" quotePrefix="0" xfId="0">
      <alignment vertical="center" wrapText="1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horizont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4" fontId="4" fillId="3" borderId="1" applyAlignment="1" applyProtection="1" pivotButton="0" quotePrefix="0" xfId="0">
      <alignment horizontal="right" vertical="center"/>
      <protection locked="0" hidden="0"/>
    </xf>
    <xf numFmtId="164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7" fontId="10" fillId="0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Pagado y pendiente por grupo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'Panel'!E29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'Panel'!$B$30:$B$33</f>
            </numRef>
          </cat>
          <val>
            <numRef>
              <f>'Panel'!$E$30:$E$33</f>
            </numRef>
          </val>
        </ser>
        <ser>
          <idx val="1"/>
          <order val="1"/>
          <tx>
            <strRef>
              <f>'Panel'!F29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'Panel'!$B$30:$B$33</f>
            </numRef>
          </cat>
          <val>
            <numRef>
              <f>'Panel'!$F$30:$F$33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'Gastos'!L7</f>
            </strRef>
          </tx>
          <spPr>
            <a:ln xmlns:a="http://schemas.openxmlformats.org/drawingml/2006/main">
              <a:prstDash val="solid"/>
            </a:ln>
          </spPr>
          <cat>
            <numRef>
              <f>'Gastos'!$K$8:$K$14</f>
            </numRef>
          </cat>
          <val>
            <numRef>
              <f>'Gastos'!$L$8:$L$14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38</row>
      <rowOff>0</rowOff>
    </from>
    <ext cx="45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38</row>
      <rowOff>0</rowOff>
    </from>
    <ext cx="37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  <col hidden="1" width="9" customWidth="1" min="10" max="10"/>
    <col width="3" customWidth="1" min="11" max="11"/>
  </cols>
  <sheetData>
    <row r="2" ht="34" customHeight="1">
      <c r="B2" s="1" t="inlineStr">
        <is>
          <t>Panel del bote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Cuánto llevas recaudado, cuánto falta, quién no ha pagado y cuánto se ha gastado, de un vistazo.</t>
        </is>
      </c>
    </row>
    <row r="5" ht="30" customHeight="1">
      <c r="B5" s="4" t="inlineStr">
        <is>
          <t>OBJETIVO</t>
        </is>
      </c>
      <c r="C5" s="4" t="inlineStr">
        <is>
          <t>RECAUDADO</t>
        </is>
      </c>
      <c r="E5" s="4" t="inlineStr">
        <is>
          <t>FALTA POR RECAUDAR</t>
        </is>
      </c>
      <c r="G5" s="4" t="inlineStr">
        <is>
          <t>CONSEGUIDO</t>
        </is>
      </c>
      <c r="I5" s="4" t="inlineStr">
        <is>
          <t>PARTICIPANTES</t>
        </is>
      </c>
    </row>
    <row r="6" ht="36" customHeight="1">
      <c r="B6" s="5">
        <f>Bote!C7</f>
        <v/>
      </c>
      <c r="C6" s="5">
        <f>SUM(Participantes!$G$6:$G$45)</f>
        <v/>
      </c>
      <c r="E6" s="5">
        <f>MAX(0,B6-C6)</f>
        <v/>
      </c>
      <c r="G6" s="6">
        <f>IF(B6=0,0,C6/B6)</f>
        <v/>
      </c>
      <c r="I6" s="7">
        <f>Bote!C15</f>
        <v/>
      </c>
    </row>
    <row r="8" ht="30" customHeight="1">
      <c r="B8" s="4" t="inlineStr">
        <is>
          <t>HAN PAGADO</t>
        </is>
      </c>
      <c r="C8" s="4" t="inlineStr">
        <is>
          <t>PENDIENTES DE PAGO</t>
        </is>
      </c>
      <c r="E8" s="4" t="inlineStr">
        <is>
          <t>GASTADO HASTA AHORA</t>
        </is>
      </c>
      <c r="G8" s="4" t="inlineStr">
        <is>
          <t>SALDO DISPONIBLE</t>
        </is>
      </c>
      <c r="I8" s="4" t="inlineStr">
        <is>
          <t>APORTACIÓN SUGERIDA</t>
        </is>
      </c>
    </row>
    <row r="9" ht="36" customHeight="1">
      <c r="B9" s="7">
        <f>COUNTIF(Participantes!K6:K45,"Pagado")</f>
        <v/>
      </c>
      <c r="C9" s="7">
        <f>COUNTIF(Participantes!K6:K45,"Pendiente")+COUNTIF(Participantes!K6:K45,"Parcial")</f>
        <v/>
      </c>
      <c r="E9" s="5">
        <f>Gastos!C5</f>
        <v/>
      </c>
      <c r="G9" s="5">
        <f>C6-E9</f>
        <v/>
      </c>
      <c r="I9" s="5">
        <f>Bote!C16</f>
        <v/>
      </c>
    </row>
    <row r="11">
      <c r="B11" s="8" t="inlineStr">
        <is>
          <t>Progreso hacia el objetivo</t>
        </is>
      </c>
      <c r="C11" s="9">
        <f>REPT("█",ROUND(MIN(1,G6)*30,0))&amp;REPT("░",30-ROUND(MIN(1,G6)*30,0))&amp;"  "&amp;ROUND(G6*100,0)&amp;"%"</f>
        <v/>
      </c>
    </row>
    <row r="12" ht="30" customHeight="1">
      <c r="B12" s="10" t="inlineStr">
        <is>
          <t>Si repartes lo que falta entre los pendientes:</t>
        </is>
      </c>
      <c r="C12" s="11">
        <f>IF(C9=0,0,E6/C9)</f>
        <v/>
      </c>
      <c r="D12" s="12" t="inlineStr">
        <is>
          <t>por persona</t>
        </is>
      </c>
      <c r="F12" s="13" t="inlineStr">
        <is>
          <t>Días hasta el límite:</t>
        </is>
      </c>
      <c r="G12" s="14">
        <f>Bote!C18</f>
        <v/>
      </c>
      <c r="H12" s="13" t="inlineStr">
        <is>
          <t>Hasta la entrega:</t>
        </is>
      </c>
      <c r="I12" s="14">
        <f>Bote!C19</f>
        <v/>
      </c>
    </row>
    <row r="14">
      <c r="B14" s="15" t="inlineStr">
        <is>
          <t>QUIÉN FALTA POR PAGAR (de mayor a menor deuda)</t>
        </is>
      </c>
    </row>
    <row r="15" ht="30" customHeight="1">
      <c r="B15" s="16" t="inlineStr">
        <is>
          <t>Nombre</t>
        </is>
      </c>
      <c r="C15" s="16" t="inlineStr">
        <is>
          <t>Grupo</t>
        </is>
      </c>
      <c r="D15" s="16" t="inlineStr">
        <is>
          <t>Cuota</t>
        </is>
      </c>
      <c r="E15" s="16" t="inlineStr">
        <is>
          <t>Pagado</t>
        </is>
      </c>
      <c r="F15" s="16" t="inlineStr">
        <is>
          <t>Pendiente</t>
        </is>
      </c>
      <c r="G15" s="16" t="inlineStr">
        <is>
          <t>Estado</t>
        </is>
      </c>
      <c r="H15" s="16" t="inlineStr">
        <is>
          <t>Recordatorio</t>
        </is>
      </c>
      <c r="I15" s="16" t="inlineStr">
        <is>
          <t>Último aviso</t>
        </is>
      </c>
    </row>
    <row r="16">
      <c r="B16" s="17">
        <f>IF($J16="","",INDEX(Participantes!$C$6:$C$45,MATCH($J16,Participantes!$P$6:$P$45,0)))</f>
        <v/>
      </c>
      <c r="C16" s="18">
        <f>IF($J16="","",INDEX(Participantes!$D$6:$D$45,MATCH($J16,Participantes!$P$6:$P$45,0)))</f>
        <v/>
      </c>
      <c r="D16" s="19">
        <f>IF($J16="","",INDEX(Participantes!$F$6:$F$45,MATCH($J16,Participantes!$P$6:$P$45,0)))</f>
        <v/>
      </c>
      <c r="E16" s="19">
        <f>IF($J16="","",INDEX(Participantes!$G$6:$G$45,MATCH($J16,Participantes!$P$6:$P$45,0)))</f>
        <v/>
      </c>
      <c r="F16" s="11">
        <f>IF($J16="","",INDEX(Participantes!$J$6:$J$45,MATCH($J16,Participantes!$P$6:$P$45,0)))</f>
        <v/>
      </c>
      <c r="G16" s="18">
        <f>IF($J16="","",INDEX(Participantes!$K$6:$K$45,MATCH($J16,Participantes!$P$6:$P$45,0)))</f>
        <v/>
      </c>
      <c r="H16" s="18">
        <f>IF($J16="","",INDEX(Participantes!$L$6:$L$45,MATCH($J16,Participantes!$P$6:$P$45,0)))</f>
        <v/>
      </c>
      <c r="I16" s="20">
        <f>IF($J16="","",IF(INDEX(Participantes!$M$6:$M$45,MATCH($J16,Participantes!$P$6:$P$45,0))="","",INDEX(Participantes!$M$6:$M$45,MATCH($J16,Participantes!$P$6:$P$45,0))))</f>
        <v/>
      </c>
      <c r="J16" s="21">
        <f>IFERROR(LARGE(Participantes!$P$6:$P$45,1),"")</f>
        <v/>
      </c>
    </row>
    <row r="17">
      <c r="B17" s="17">
        <f>IF($J17="","",INDEX(Participantes!$C$6:$C$45,MATCH($J17,Participantes!$P$6:$P$45,0)))</f>
        <v/>
      </c>
      <c r="C17" s="18">
        <f>IF($J17="","",INDEX(Participantes!$D$6:$D$45,MATCH($J17,Participantes!$P$6:$P$45,0)))</f>
        <v/>
      </c>
      <c r="D17" s="19">
        <f>IF($J17="","",INDEX(Participantes!$F$6:$F$45,MATCH($J17,Participantes!$P$6:$P$45,0)))</f>
        <v/>
      </c>
      <c r="E17" s="19">
        <f>IF($J17="","",INDEX(Participantes!$G$6:$G$45,MATCH($J17,Participantes!$P$6:$P$45,0)))</f>
        <v/>
      </c>
      <c r="F17" s="11">
        <f>IF($J17="","",INDEX(Participantes!$J$6:$J$45,MATCH($J17,Participantes!$P$6:$P$45,0)))</f>
        <v/>
      </c>
      <c r="G17" s="18">
        <f>IF($J17="","",INDEX(Participantes!$K$6:$K$45,MATCH($J17,Participantes!$P$6:$P$45,0)))</f>
        <v/>
      </c>
      <c r="H17" s="18">
        <f>IF($J17="","",INDEX(Participantes!$L$6:$L$45,MATCH($J17,Participantes!$P$6:$P$45,0)))</f>
        <v/>
      </c>
      <c r="I17" s="20">
        <f>IF($J17="","",IF(INDEX(Participantes!$M$6:$M$45,MATCH($J17,Participantes!$P$6:$P$45,0))="","",INDEX(Participantes!$M$6:$M$45,MATCH($J17,Participantes!$P$6:$P$45,0))))</f>
        <v/>
      </c>
      <c r="J17" s="21">
        <f>IFERROR(LARGE(Participantes!$P$6:$P$45,2),"")</f>
        <v/>
      </c>
    </row>
    <row r="18">
      <c r="B18" s="17">
        <f>IF($J18="","",INDEX(Participantes!$C$6:$C$45,MATCH($J18,Participantes!$P$6:$P$45,0)))</f>
        <v/>
      </c>
      <c r="C18" s="18">
        <f>IF($J18="","",INDEX(Participantes!$D$6:$D$45,MATCH($J18,Participantes!$P$6:$P$45,0)))</f>
        <v/>
      </c>
      <c r="D18" s="19">
        <f>IF($J18="","",INDEX(Participantes!$F$6:$F$45,MATCH($J18,Participantes!$P$6:$P$45,0)))</f>
        <v/>
      </c>
      <c r="E18" s="19">
        <f>IF($J18="","",INDEX(Participantes!$G$6:$G$45,MATCH($J18,Participantes!$P$6:$P$45,0)))</f>
        <v/>
      </c>
      <c r="F18" s="11">
        <f>IF($J18="","",INDEX(Participantes!$J$6:$J$45,MATCH($J18,Participantes!$P$6:$P$45,0)))</f>
        <v/>
      </c>
      <c r="G18" s="18">
        <f>IF($J18="","",INDEX(Participantes!$K$6:$K$45,MATCH($J18,Participantes!$P$6:$P$45,0)))</f>
        <v/>
      </c>
      <c r="H18" s="18">
        <f>IF($J18="","",INDEX(Participantes!$L$6:$L$45,MATCH($J18,Participantes!$P$6:$P$45,0)))</f>
        <v/>
      </c>
      <c r="I18" s="20">
        <f>IF($J18="","",IF(INDEX(Participantes!$M$6:$M$45,MATCH($J18,Participantes!$P$6:$P$45,0))="","",INDEX(Participantes!$M$6:$M$45,MATCH($J18,Participantes!$P$6:$P$45,0))))</f>
        <v/>
      </c>
      <c r="J18" s="21">
        <f>IFERROR(LARGE(Participantes!$P$6:$P$45,3),"")</f>
        <v/>
      </c>
    </row>
    <row r="19">
      <c r="B19" s="17">
        <f>IF($J19="","",INDEX(Participantes!$C$6:$C$45,MATCH($J19,Participantes!$P$6:$P$45,0)))</f>
        <v/>
      </c>
      <c r="C19" s="18">
        <f>IF($J19="","",INDEX(Participantes!$D$6:$D$45,MATCH($J19,Participantes!$P$6:$P$45,0)))</f>
        <v/>
      </c>
      <c r="D19" s="19">
        <f>IF($J19="","",INDEX(Participantes!$F$6:$F$45,MATCH($J19,Participantes!$P$6:$P$45,0)))</f>
        <v/>
      </c>
      <c r="E19" s="19">
        <f>IF($J19="","",INDEX(Participantes!$G$6:$G$45,MATCH($J19,Participantes!$P$6:$P$45,0)))</f>
        <v/>
      </c>
      <c r="F19" s="11">
        <f>IF($J19="","",INDEX(Participantes!$J$6:$J$45,MATCH($J19,Participantes!$P$6:$P$45,0)))</f>
        <v/>
      </c>
      <c r="G19" s="18">
        <f>IF($J19="","",INDEX(Participantes!$K$6:$K$45,MATCH($J19,Participantes!$P$6:$P$45,0)))</f>
        <v/>
      </c>
      <c r="H19" s="18">
        <f>IF($J19="","",INDEX(Participantes!$L$6:$L$45,MATCH($J19,Participantes!$P$6:$P$45,0)))</f>
        <v/>
      </c>
      <c r="I19" s="20">
        <f>IF($J19="","",IF(INDEX(Participantes!$M$6:$M$45,MATCH($J19,Participantes!$P$6:$P$45,0))="","",INDEX(Participantes!$M$6:$M$45,MATCH($J19,Participantes!$P$6:$P$45,0))))</f>
        <v/>
      </c>
      <c r="J19" s="21">
        <f>IFERROR(LARGE(Participantes!$P$6:$P$45,4),"")</f>
        <v/>
      </c>
    </row>
    <row r="20">
      <c r="B20" s="17">
        <f>IF($J20="","",INDEX(Participantes!$C$6:$C$45,MATCH($J20,Participantes!$P$6:$P$45,0)))</f>
        <v/>
      </c>
      <c r="C20" s="18">
        <f>IF($J20="","",INDEX(Participantes!$D$6:$D$45,MATCH($J20,Participantes!$P$6:$P$45,0)))</f>
        <v/>
      </c>
      <c r="D20" s="19">
        <f>IF($J20="","",INDEX(Participantes!$F$6:$F$45,MATCH($J20,Participantes!$P$6:$P$45,0)))</f>
        <v/>
      </c>
      <c r="E20" s="19">
        <f>IF($J20="","",INDEX(Participantes!$G$6:$G$45,MATCH($J20,Participantes!$P$6:$P$45,0)))</f>
        <v/>
      </c>
      <c r="F20" s="11">
        <f>IF($J20="","",INDEX(Participantes!$J$6:$J$45,MATCH($J20,Participantes!$P$6:$P$45,0)))</f>
        <v/>
      </c>
      <c r="G20" s="18">
        <f>IF($J20="","",INDEX(Participantes!$K$6:$K$45,MATCH($J20,Participantes!$P$6:$P$45,0)))</f>
        <v/>
      </c>
      <c r="H20" s="18">
        <f>IF($J20="","",INDEX(Participantes!$L$6:$L$45,MATCH($J20,Participantes!$P$6:$P$45,0)))</f>
        <v/>
      </c>
      <c r="I20" s="20">
        <f>IF($J20="","",IF(INDEX(Participantes!$M$6:$M$45,MATCH($J20,Participantes!$P$6:$P$45,0))="","",INDEX(Participantes!$M$6:$M$45,MATCH($J20,Participantes!$P$6:$P$45,0))))</f>
        <v/>
      </c>
      <c r="J20" s="21">
        <f>IFERROR(LARGE(Participantes!$P$6:$P$45,5),"")</f>
        <v/>
      </c>
    </row>
    <row r="21">
      <c r="B21" s="17">
        <f>IF($J21="","",INDEX(Participantes!$C$6:$C$45,MATCH($J21,Participantes!$P$6:$P$45,0)))</f>
        <v/>
      </c>
      <c r="C21" s="18">
        <f>IF($J21="","",INDEX(Participantes!$D$6:$D$45,MATCH($J21,Participantes!$P$6:$P$45,0)))</f>
        <v/>
      </c>
      <c r="D21" s="19">
        <f>IF($J21="","",INDEX(Participantes!$F$6:$F$45,MATCH($J21,Participantes!$P$6:$P$45,0)))</f>
        <v/>
      </c>
      <c r="E21" s="19">
        <f>IF($J21="","",INDEX(Participantes!$G$6:$G$45,MATCH($J21,Participantes!$P$6:$P$45,0)))</f>
        <v/>
      </c>
      <c r="F21" s="11">
        <f>IF($J21="","",INDEX(Participantes!$J$6:$J$45,MATCH($J21,Participantes!$P$6:$P$45,0)))</f>
        <v/>
      </c>
      <c r="G21" s="18">
        <f>IF($J21="","",INDEX(Participantes!$K$6:$K$45,MATCH($J21,Participantes!$P$6:$P$45,0)))</f>
        <v/>
      </c>
      <c r="H21" s="18">
        <f>IF($J21="","",INDEX(Participantes!$L$6:$L$45,MATCH($J21,Participantes!$P$6:$P$45,0)))</f>
        <v/>
      </c>
      <c r="I21" s="20">
        <f>IF($J21="","",IF(INDEX(Participantes!$M$6:$M$45,MATCH($J21,Participantes!$P$6:$P$45,0))="","",INDEX(Participantes!$M$6:$M$45,MATCH($J21,Participantes!$P$6:$P$45,0))))</f>
        <v/>
      </c>
      <c r="J21" s="21">
        <f>IFERROR(LARGE(Participantes!$P$6:$P$45,6),"")</f>
        <v/>
      </c>
    </row>
    <row r="22">
      <c r="B22" s="17">
        <f>IF($J22="","",INDEX(Participantes!$C$6:$C$45,MATCH($J22,Participantes!$P$6:$P$45,0)))</f>
        <v/>
      </c>
      <c r="C22" s="18">
        <f>IF($J22="","",INDEX(Participantes!$D$6:$D$45,MATCH($J22,Participantes!$P$6:$P$45,0)))</f>
        <v/>
      </c>
      <c r="D22" s="19">
        <f>IF($J22="","",INDEX(Participantes!$F$6:$F$45,MATCH($J22,Participantes!$P$6:$P$45,0)))</f>
        <v/>
      </c>
      <c r="E22" s="19">
        <f>IF($J22="","",INDEX(Participantes!$G$6:$G$45,MATCH($J22,Participantes!$P$6:$P$45,0)))</f>
        <v/>
      </c>
      <c r="F22" s="11">
        <f>IF($J22="","",INDEX(Participantes!$J$6:$J$45,MATCH($J22,Participantes!$P$6:$P$45,0)))</f>
        <v/>
      </c>
      <c r="G22" s="18">
        <f>IF($J22="","",INDEX(Participantes!$K$6:$K$45,MATCH($J22,Participantes!$P$6:$P$45,0)))</f>
        <v/>
      </c>
      <c r="H22" s="18">
        <f>IF($J22="","",INDEX(Participantes!$L$6:$L$45,MATCH($J22,Participantes!$P$6:$P$45,0)))</f>
        <v/>
      </c>
      <c r="I22" s="20">
        <f>IF($J22="","",IF(INDEX(Participantes!$M$6:$M$45,MATCH($J22,Participantes!$P$6:$P$45,0))="","",INDEX(Participantes!$M$6:$M$45,MATCH($J22,Participantes!$P$6:$P$45,0))))</f>
        <v/>
      </c>
      <c r="J22" s="21">
        <f>IFERROR(LARGE(Participantes!$P$6:$P$45,7),"")</f>
        <v/>
      </c>
    </row>
    <row r="23">
      <c r="B23" s="17">
        <f>IF($J23="","",INDEX(Participantes!$C$6:$C$45,MATCH($J23,Participantes!$P$6:$P$45,0)))</f>
        <v/>
      </c>
      <c r="C23" s="18">
        <f>IF($J23="","",INDEX(Participantes!$D$6:$D$45,MATCH($J23,Participantes!$P$6:$P$45,0)))</f>
        <v/>
      </c>
      <c r="D23" s="19">
        <f>IF($J23="","",INDEX(Participantes!$F$6:$F$45,MATCH($J23,Participantes!$P$6:$P$45,0)))</f>
        <v/>
      </c>
      <c r="E23" s="19">
        <f>IF($J23="","",INDEX(Participantes!$G$6:$G$45,MATCH($J23,Participantes!$P$6:$P$45,0)))</f>
        <v/>
      </c>
      <c r="F23" s="11">
        <f>IF($J23="","",INDEX(Participantes!$J$6:$J$45,MATCH($J23,Participantes!$P$6:$P$45,0)))</f>
        <v/>
      </c>
      <c r="G23" s="18">
        <f>IF($J23="","",INDEX(Participantes!$K$6:$K$45,MATCH($J23,Participantes!$P$6:$P$45,0)))</f>
        <v/>
      </c>
      <c r="H23" s="18">
        <f>IF($J23="","",INDEX(Participantes!$L$6:$L$45,MATCH($J23,Participantes!$P$6:$P$45,0)))</f>
        <v/>
      </c>
      <c r="I23" s="20">
        <f>IF($J23="","",IF(INDEX(Participantes!$M$6:$M$45,MATCH($J23,Participantes!$P$6:$P$45,0))="","",INDEX(Participantes!$M$6:$M$45,MATCH($J23,Participantes!$P$6:$P$45,0))))</f>
        <v/>
      </c>
      <c r="J23" s="21">
        <f>IFERROR(LARGE(Participantes!$P$6:$P$45,8),"")</f>
        <v/>
      </c>
    </row>
    <row r="24">
      <c r="B24" s="17">
        <f>IF($J24="","",INDEX(Participantes!$C$6:$C$45,MATCH($J24,Participantes!$P$6:$P$45,0)))</f>
        <v/>
      </c>
      <c r="C24" s="18">
        <f>IF($J24="","",INDEX(Participantes!$D$6:$D$45,MATCH($J24,Participantes!$P$6:$P$45,0)))</f>
        <v/>
      </c>
      <c r="D24" s="19">
        <f>IF($J24="","",INDEX(Participantes!$F$6:$F$45,MATCH($J24,Participantes!$P$6:$P$45,0)))</f>
        <v/>
      </c>
      <c r="E24" s="19">
        <f>IF($J24="","",INDEX(Participantes!$G$6:$G$45,MATCH($J24,Participantes!$P$6:$P$45,0)))</f>
        <v/>
      </c>
      <c r="F24" s="11">
        <f>IF($J24="","",INDEX(Participantes!$J$6:$J$45,MATCH($J24,Participantes!$P$6:$P$45,0)))</f>
        <v/>
      </c>
      <c r="G24" s="18">
        <f>IF($J24="","",INDEX(Participantes!$K$6:$K$45,MATCH($J24,Participantes!$P$6:$P$45,0)))</f>
        <v/>
      </c>
      <c r="H24" s="18">
        <f>IF($J24="","",INDEX(Participantes!$L$6:$L$45,MATCH($J24,Participantes!$P$6:$P$45,0)))</f>
        <v/>
      </c>
      <c r="I24" s="20">
        <f>IF($J24="","",IF(INDEX(Participantes!$M$6:$M$45,MATCH($J24,Participantes!$P$6:$P$45,0))="","",INDEX(Participantes!$M$6:$M$45,MATCH($J24,Participantes!$P$6:$P$45,0))))</f>
        <v/>
      </c>
      <c r="J24" s="21">
        <f>IFERROR(LARGE(Participantes!$P$6:$P$45,9),"")</f>
        <v/>
      </c>
    </row>
    <row r="25">
      <c r="B25" s="17">
        <f>IF($J25="","",INDEX(Participantes!$C$6:$C$45,MATCH($J25,Participantes!$P$6:$P$45,0)))</f>
        <v/>
      </c>
      <c r="C25" s="18">
        <f>IF($J25="","",INDEX(Participantes!$D$6:$D$45,MATCH($J25,Participantes!$P$6:$P$45,0)))</f>
        <v/>
      </c>
      <c r="D25" s="19">
        <f>IF($J25="","",INDEX(Participantes!$F$6:$F$45,MATCH($J25,Participantes!$P$6:$P$45,0)))</f>
        <v/>
      </c>
      <c r="E25" s="19">
        <f>IF($J25="","",INDEX(Participantes!$G$6:$G$45,MATCH($J25,Participantes!$P$6:$P$45,0)))</f>
        <v/>
      </c>
      <c r="F25" s="11">
        <f>IF($J25="","",INDEX(Participantes!$J$6:$J$45,MATCH($J25,Participantes!$P$6:$P$45,0)))</f>
        <v/>
      </c>
      <c r="G25" s="18">
        <f>IF($J25="","",INDEX(Participantes!$K$6:$K$45,MATCH($J25,Participantes!$P$6:$P$45,0)))</f>
        <v/>
      </c>
      <c r="H25" s="18">
        <f>IF($J25="","",INDEX(Participantes!$L$6:$L$45,MATCH($J25,Participantes!$P$6:$P$45,0)))</f>
        <v/>
      </c>
      <c r="I25" s="20">
        <f>IF($J25="","",IF(INDEX(Participantes!$M$6:$M$45,MATCH($J25,Participantes!$P$6:$P$45,0))="","",INDEX(Participantes!$M$6:$M$45,MATCH($J25,Participantes!$P$6:$P$45,0))))</f>
        <v/>
      </c>
      <c r="J25" s="21">
        <f>IFERROR(LARGE(Participantes!$P$6:$P$45,10),"")</f>
        <v/>
      </c>
    </row>
    <row r="26">
      <c r="B26" s="22">
        <f>IF(C9=0,"¡Todo el mundo ha pagado!",IF(C9&gt;10,"Se muestran las 10 deudas mayores; hay "&amp;(C9-10)&amp;" pendientes más en «Participantes».",""))</f>
        <v/>
      </c>
    </row>
    <row r="28">
      <c r="B28" s="15" t="inlineStr">
        <is>
          <t>POR GRUPO</t>
        </is>
      </c>
    </row>
    <row r="29" ht="30" customHeight="1">
      <c r="B29" s="16" t="inlineStr">
        <is>
          <t>Grupo</t>
        </is>
      </c>
      <c r="C29" s="16" t="inlineStr">
        <is>
          <t>Personas</t>
        </is>
      </c>
      <c r="D29" s="16" t="inlineStr">
        <is>
          <t>Cuotas</t>
        </is>
      </c>
      <c r="E29" s="16" t="inlineStr">
        <is>
          <t>Pagado</t>
        </is>
      </c>
      <c r="F29" s="16" t="inlineStr">
        <is>
          <t>Pendiente</t>
        </is>
      </c>
      <c r="G29" s="16" t="inlineStr">
        <is>
          <t>% pagado</t>
        </is>
      </c>
    </row>
    <row r="30">
      <c r="B30" s="17">
        <f>Listas!A2</f>
        <v/>
      </c>
      <c r="C30" s="23">
        <f>COUNTIF(Participantes!$D$6:$D$45,B30)</f>
        <v/>
      </c>
      <c r="D30" s="24">
        <f>SUMIF(Participantes!$D$6:$D$45,B30,Participantes!$F$6:$F$45)</f>
        <v/>
      </c>
      <c r="E30" s="24">
        <f>SUMIF(Participantes!$D$6:$D$45,B30,Participantes!$G$6:$G$45)</f>
        <v/>
      </c>
      <c r="F30" s="24">
        <f>SUMIF(Participantes!$D$6:$D$45,B30,Participantes!$J$6:$J$45)</f>
        <v/>
      </c>
      <c r="G30" s="25">
        <f>IF(D30=0,0,E30/D30)</f>
        <v/>
      </c>
    </row>
    <row r="31">
      <c r="B31" s="17">
        <f>Listas!A3</f>
        <v/>
      </c>
      <c r="C31" s="23">
        <f>COUNTIF(Participantes!$D$6:$D$45,B31)</f>
        <v/>
      </c>
      <c r="D31" s="24">
        <f>SUMIF(Participantes!$D$6:$D$45,B31,Participantes!$F$6:$F$45)</f>
        <v/>
      </c>
      <c r="E31" s="24">
        <f>SUMIF(Participantes!$D$6:$D$45,B31,Participantes!$G$6:$G$45)</f>
        <v/>
      </c>
      <c r="F31" s="24">
        <f>SUMIF(Participantes!$D$6:$D$45,B31,Participantes!$J$6:$J$45)</f>
        <v/>
      </c>
      <c r="G31" s="25">
        <f>IF(D31=0,0,E31/D31)</f>
        <v/>
      </c>
    </row>
    <row r="32">
      <c r="B32" s="17">
        <f>Listas!A4</f>
        <v/>
      </c>
      <c r="C32" s="23">
        <f>COUNTIF(Participantes!$D$6:$D$45,B32)</f>
        <v/>
      </c>
      <c r="D32" s="24">
        <f>SUMIF(Participantes!$D$6:$D$45,B32,Participantes!$F$6:$F$45)</f>
        <v/>
      </c>
      <c r="E32" s="24">
        <f>SUMIF(Participantes!$D$6:$D$45,B32,Participantes!$G$6:$G$45)</f>
        <v/>
      </c>
      <c r="F32" s="24">
        <f>SUMIF(Participantes!$D$6:$D$45,B32,Participantes!$J$6:$J$45)</f>
        <v/>
      </c>
      <c r="G32" s="25">
        <f>IF(D32=0,0,E32/D32)</f>
        <v/>
      </c>
    </row>
    <row r="33">
      <c r="B33" s="17">
        <f>Listas!A5</f>
        <v/>
      </c>
      <c r="C33" s="23">
        <f>COUNTIF(Participantes!$D$6:$D$45,B33)</f>
        <v/>
      </c>
      <c r="D33" s="24">
        <f>SUMIF(Participantes!$D$6:$D$45,B33,Participantes!$F$6:$F$45)</f>
        <v/>
      </c>
      <c r="E33" s="24">
        <f>SUMIF(Participantes!$D$6:$D$45,B33,Participantes!$G$6:$G$45)</f>
        <v/>
      </c>
      <c r="F33" s="24">
        <f>SUMIF(Participantes!$D$6:$D$45,B33,Participantes!$J$6:$J$45)</f>
        <v/>
      </c>
      <c r="G33" s="25">
        <f>IF(D33=0,0,E33/D33)</f>
        <v/>
      </c>
    </row>
    <row r="34">
      <c r="B34" s="26" t="inlineStr">
        <is>
          <t>Total</t>
        </is>
      </c>
      <c r="C34" s="27">
        <f>SUM(C30:C33)</f>
        <v/>
      </c>
      <c r="D34" s="28">
        <f>SUM(D30:D33)</f>
        <v/>
      </c>
      <c r="E34" s="28">
        <f>SUM(E30:E33)</f>
        <v/>
      </c>
      <c r="F34" s="28">
        <f>SUM(F30:F33)</f>
        <v/>
      </c>
      <c r="G34" s="29">
        <f>IF(D34=0,0,E34/D34)</f>
        <v/>
      </c>
    </row>
    <row r="36">
      <c r="B36" s="15" t="inlineStr">
        <is>
          <t>MENSAJE PARA COPIAR EN EL GRUPO</t>
        </is>
      </c>
    </row>
    <row r="37" ht="62" customHeight="1">
      <c r="B37" s="30">
        <f>IF(C9=0,"¡Bote completo para "&amp;Bote!C5&amp;"! Gracias a todos.","Hola a todos: llevamos "&amp;ROUND(C6,2)&amp;" € de "&amp;ROUND(B6,2)&amp;" € para "&amp;Bote!C5&amp;". Faltan "&amp;C9&amp;" aportaciones (sugerido: "&amp;ROUND(I9,2)&amp;" € por persona). Podéis pagar hasta el "&amp;DAY(Bote!C8)&amp;"/"&amp;MONTH(Bote!C8)&amp;"/"&amp;YEAR(Bote!C8)&amp;" ("&amp;Bote!C12&amp;"). ¡Gracias!")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6">
    <mergeCell ref="E6:F6"/>
    <mergeCell ref="C6:D6"/>
    <mergeCell ref="B2:I2"/>
    <mergeCell ref="C5:D5"/>
    <mergeCell ref="G5:H5"/>
    <mergeCell ref="E5:F5"/>
    <mergeCell ref="B3:I3"/>
    <mergeCell ref="B37:I37"/>
    <mergeCell ref="G6:H6"/>
    <mergeCell ref="C9:D9"/>
    <mergeCell ref="G8:H8"/>
    <mergeCell ref="G9:H9"/>
    <mergeCell ref="E9:F9"/>
    <mergeCell ref="E8:F8"/>
    <mergeCell ref="C8:D8"/>
    <mergeCell ref="C11:I11"/>
  </mergeCells>
  <conditionalFormatting sqref="G12">
    <cfRule type="expression" priority="1" dxfId="0">
      <formula>AND(ISNUMBER($G$12),$G$12&lt;0)</formula>
    </cfRule>
  </conditionalFormatting>
  <conditionalFormatting sqref="G6">
    <cfRule type="expression" priority="2" dxfId="1">
      <formula>$G$6&gt;=1</formula>
    </cfRule>
  </conditionalFormatting>
  <conditionalFormatting sqref="I9">
    <cfRule type="expression" priority="3" dxfId="2">
      <formula>AND($I$9&gt;0,$I$9&lt;$B$6)</formula>
    </cfRule>
  </conditionalFormatting>
  <conditionalFormatting sqref="G9">
    <cfRule type="expression" priority="4" dxfId="0">
      <formula>$G$9&lt;0</formula>
    </cfRule>
  </conditionalFormatting>
  <conditionalFormatting sqref="G16:G25">
    <cfRule type="cellIs" priority="5" operator="equal" dxfId="0">
      <formula>"Pendiente"</formula>
    </cfRule>
    <cfRule type="cellIs" priority="6" operator="equal" dxfId="2">
      <formula>"Parcial"</formula>
    </cfRule>
  </conditionalFormatting>
  <conditionalFormatting sqref="H16:H25">
    <cfRule type="cellIs" priority="7" operator="equal" dxfId="0">
      <formula>"Reclamar ya"</formula>
    </cfRule>
    <cfRule type="cellIs" priority="8" operator="equal" dxfId="2">
      <formula>"Recordar"</formula>
    </cfRule>
  </conditionalFormatting>
  <conditionalFormatting sqref="G30:G33">
    <cfRule type="dataBar" priority="9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D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8" customWidth="1" min="3" max="3"/>
    <col width="62" customWidth="1" min="4" max="4"/>
  </cols>
  <sheetData>
    <row r="2" ht="34" customHeight="1">
      <c r="B2" s="1" t="inlineStr">
        <is>
          <t>Datos del bote</t>
        </is>
      </c>
      <c r="C2" s="2" t="n"/>
      <c r="D2" s="2" t="n"/>
    </row>
    <row r="3">
      <c r="B3" s="3" t="inlineStr">
        <is>
          <t>Aquí defines el regalo, el objetivo y las fechas. Todo lo demás se calcula solo a partir de estos datos.</t>
        </is>
      </c>
    </row>
    <row r="5">
      <c r="B5" s="8" t="inlineStr">
        <is>
          <t>Regalo para / ocasión</t>
        </is>
      </c>
      <c r="C5" s="31" t="inlineStr">
        <is>
          <t>Carmen · despedida por jubilación</t>
        </is>
      </c>
      <c r="D5" s="32" t="inlineStr">
        <is>
          <t>Texto libre: aparece en el mensaje para el grupo.</t>
        </is>
      </c>
    </row>
    <row r="6">
      <c r="B6" s="8" t="inlineStr">
        <is>
          <t>Organizador/a del bote</t>
        </is>
      </c>
      <c r="C6" s="31" t="inlineStr">
        <is>
          <t>Marta</t>
        </is>
      </c>
      <c r="D6" s="32" t="inlineStr">
        <is>
          <t>Quien recoge el dinero y paga el regalo.</t>
        </is>
      </c>
    </row>
    <row r="7">
      <c r="B7" s="8" t="inlineStr">
        <is>
          <t>Objetivo del bote (€)</t>
        </is>
      </c>
      <c r="C7" s="33" t="n">
        <v>320</v>
      </c>
      <c r="D7" s="32" t="inlineStr">
        <is>
          <t>Lo que quieres recaudar en total: regalo, tarjeta, flores y extras.</t>
        </is>
      </c>
    </row>
    <row r="8">
      <c r="B8" s="8" t="inlineStr">
        <is>
          <t>Fecha límite para aportar</t>
        </is>
      </c>
      <c r="C8" s="34" t="n">
        <v>46311</v>
      </c>
      <c r="D8" s="32" t="inlineStr">
        <is>
          <t>A partir de aquí se lanzan los avisos de recordatorio.</t>
        </is>
      </c>
    </row>
    <row r="9">
      <c r="B9" s="8" t="inlineStr">
        <is>
          <t>Fecha de entrega del regalo</t>
        </is>
      </c>
      <c r="C9" s="34" t="n">
        <v>46319</v>
      </c>
      <c r="D9" s="32" t="inlineStr">
        <is>
          <t>Solo informativa: para calcular los días que quedan.</t>
        </is>
      </c>
    </row>
    <row r="10">
      <c r="B10" s="8" t="inlineStr">
        <is>
          <t>Días de aviso antes del límite</t>
        </is>
      </c>
      <c r="C10" s="35" t="n">
        <v>7</v>
      </c>
      <c r="D10" s="32" t="inlineStr">
        <is>
          <t>Cuántos días antes de la fecha límite se marca «Recordar».</t>
        </is>
      </c>
    </row>
    <row r="11">
      <c r="B11" s="8" t="inlineStr">
        <is>
          <t>Redondear la aportación sugerida a (€)</t>
        </is>
      </c>
      <c r="C11" s="33" t="n">
        <v>1</v>
      </c>
      <c r="D11" s="32" t="inlineStr">
        <is>
          <t>Ejemplo: 1 = euros enteros; 0,50 = a la media unidad.</t>
        </is>
      </c>
    </row>
    <row r="12">
      <c r="B12" s="8" t="inlineStr">
        <is>
          <t>Cómo pagar al bote</t>
        </is>
      </c>
      <c r="C12" s="31" t="inlineStr">
        <is>
          <t>Bizum a Marta</t>
        </is>
      </c>
      <c r="D12" s="32" t="inlineStr">
        <is>
          <t>Texto que se incluye en el mensaje de recordatorio.</t>
        </is>
      </c>
    </row>
    <row r="14">
      <c r="B14" s="15" t="inlineStr">
        <is>
          <t>CALCULADO AUTOMÁTICAMENTE</t>
        </is>
      </c>
    </row>
    <row r="15">
      <c r="B15" s="8" t="inlineStr">
        <is>
          <t>Número de participantes</t>
        </is>
      </c>
      <c r="C15" s="14">
        <f>COUNTA(Participantes!C6:C45)</f>
        <v/>
      </c>
      <c r="D15" s="12" t="inlineStr">
        <is>
          <t>Cuenta los nombres escritos en la hoja «Participantes».</t>
        </is>
      </c>
    </row>
    <row r="16">
      <c r="B16" s="8" t="inlineStr">
        <is>
          <t>Aportación sugerida por persona</t>
        </is>
      </c>
      <c r="C16" s="11">
        <f>IF(C15=0,0,ROUNDUP(C7/C15/MAX(C11,0.01),0)*MAX(C11,0.01))</f>
        <v/>
      </c>
      <c r="D16" s="12" t="inlineStr">
        <is>
          <t>Objetivo ÷ participantes, redondeado hacia arriba.</t>
        </is>
      </c>
    </row>
    <row r="17">
      <c r="B17" s="8" t="inlineStr">
        <is>
          <t>Hoy</t>
        </is>
      </c>
      <c r="C17" s="20">
        <f>TODAY()</f>
        <v/>
      </c>
    </row>
    <row r="18">
      <c r="B18" s="8" t="inlineStr">
        <is>
          <t>Días hasta la fecha límite</t>
        </is>
      </c>
      <c r="C18" s="14">
        <f>IF(C8="","",C8-C17)</f>
        <v/>
      </c>
      <c r="D18" s="12" t="inlineStr">
        <is>
          <t>Negativo = el plazo ya ha pasado.</t>
        </is>
      </c>
    </row>
    <row r="19">
      <c r="B19" s="8" t="inlineStr">
        <is>
          <t>Días hasta la entrega</t>
        </is>
      </c>
      <c r="C19" s="14">
        <f>IF(C9="","",C9-C17)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D3"/>
    <mergeCell ref="B2:D2"/>
  </mergeCells>
  <conditionalFormatting sqref="C18">
    <cfRule type="expression" priority="1" dxfId="0">
      <formula>AND(ISNUMBER($C$18),$C$18&lt;0)</formula>
    </cfRule>
    <cfRule type="expression" priority="2" dxfId="2">
      <formula>AND(ISNUMBER($C$18),$C$18&gt;=0,$C$18&lt;=$C$10)</formula>
    </cfRule>
  </conditionalFormatting>
  <dataValidations count="1">
    <dataValidation sqref="C7 C11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P4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" customWidth="1" min="2" max="2"/>
    <col width="20" customWidth="1" min="3" max="3"/>
    <col width="19" customWidth="1" min="4" max="4"/>
    <col width="14" customWidth="1" min="5" max="5"/>
    <col width="13" customWidth="1" min="6" max="6"/>
    <col width="13" customWidth="1" min="7" max="7"/>
    <col width="13" customWidth="1" min="8" max="8"/>
    <col width="14" customWidth="1" min="9" max="9"/>
    <col width="13" customWidth="1" min="10" max="10"/>
    <col width="12" customWidth="1" min="11" max="11"/>
    <col width="14" customWidth="1" min="12" max="12"/>
    <col width="14" customWidth="1" min="13" max="13"/>
    <col width="12" customWidth="1" min="14" max="14"/>
    <col width="28" customWidth="1" min="15" max="15"/>
    <col hidden="1" width="10" customWidth="1" min="16" max="16"/>
  </cols>
  <sheetData>
    <row r="2" ht="34" customHeight="1">
      <c r="B2" s="1" t="inlineStr">
        <is>
          <t>Participantes y aportaciones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Una fila por persona: lo que se ha comprometido, lo que ha pagado, lo que falta y cuándo recordárselo.</t>
        </is>
      </c>
    </row>
    <row r="5" ht="44" customHeight="1">
      <c r="B5" s="16" t="inlineStr">
        <is>
          <t>Nº</t>
        </is>
      </c>
      <c r="C5" s="16" t="inlineStr">
        <is>
          <t>Nombre</t>
        </is>
      </c>
      <c r="D5" s="16" t="inlineStr">
        <is>
          <t>Grupo</t>
        </is>
      </c>
      <c r="E5" s="16" t="inlineStr">
        <is>
          <t>Aportación acordada (€)</t>
        </is>
      </c>
      <c r="F5" s="16" t="inlineStr">
        <is>
          <t>Cuota aplicada (€)</t>
        </is>
      </c>
      <c r="G5" s="16" t="inlineStr">
        <is>
          <t>Pagado (€)</t>
        </is>
      </c>
      <c r="H5" s="16" t="inlineStr">
        <is>
          <t>Fecha de pago</t>
        </is>
      </c>
      <c r="I5" s="16" t="inlineStr">
        <is>
          <t>Método</t>
        </is>
      </c>
      <c r="J5" s="16" t="inlineStr">
        <is>
          <t>Pendiente (€)</t>
        </is>
      </c>
      <c r="K5" s="16" t="inlineStr">
        <is>
          <t>Estado</t>
        </is>
      </c>
      <c r="L5" s="16" t="inlineStr">
        <is>
          <t>Recordatorio</t>
        </is>
      </c>
      <c r="M5" s="16" t="inlineStr">
        <is>
          <t>Último aviso</t>
        </is>
      </c>
      <c r="N5" s="16" t="inlineStr">
        <is>
          <t>Días desde el aviso</t>
        </is>
      </c>
      <c r="O5" s="16" t="inlineStr">
        <is>
          <t>Nota</t>
        </is>
      </c>
      <c r="P5" s="36" t="inlineStr">
        <is>
          <t>Orden (aux.)</t>
        </is>
      </c>
    </row>
    <row r="6">
      <c r="B6" s="23">
        <f>IF(C6="","",ROW()-5)</f>
        <v/>
      </c>
      <c r="C6" s="37" t="inlineStr">
        <is>
          <t>Ana</t>
        </is>
      </c>
      <c r="D6" s="38" t="inlineStr">
        <is>
          <t>Equipo</t>
        </is>
      </c>
      <c r="E6" s="39" t="n"/>
      <c r="F6" s="40">
        <f>IF(C6="","",IF(E6="",Bote!$C$16,E6))</f>
        <v/>
      </c>
      <c r="G6" s="39" t="n">
        <v>23</v>
      </c>
      <c r="H6" s="34" t="n">
        <v>46287</v>
      </c>
      <c r="I6" s="38" t="inlineStr">
        <is>
          <t>Bizum</t>
        </is>
      </c>
      <c r="J6" s="41">
        <f>IF(C6="","",MAX(0,F6-G6))</f>
        <v/>
      </c>
      <c r="K6" s="18">
        <f>IF(C6="","",IF(AND(F6&gt;0,G6&gt;=F6),"Pagado",IF(G6&gt;0,"Parcial","Pendiente")))</f>
        <v/>
      </c>
      <c r="L6" s="18">
        <f>IF(C6="","",IF(K6="Pagado","OK",IF(Bote!$C$8="","En plazo",IF(TODAY()&gt;Bote!$C$8,"Reclamar ya",IF(Bote!$C$8-TODAY()&lt;=Bote!$C$10,"Recordar","En plazo")))))</f>
        <v/>
      </c>
      <c r="M6" s="34" t="n"/>
      <c r="N6" s="23">
        <f>IF(OR(C6="",M6=""),"",TODAY()-M6)</f>
        <v/>
      </c>
      <c r="O6" s="37" t="inlineStr"/>
      <c r="P6" s="42">
        <f>IF(C6="","",IF(N(J6)&gt;0,J6+ROW()/1000000,""))</f>
        <v/>
      </c>
    </row>
    <row r="7">
      <c r="B7" s="23">
        <f>IF(C7="","",ROW()-5)</f>
        <v/>
      </c>
      <c r="C7" s="37" t="inlineStr">
        <is>
          <t>Luis</t>
        </is>
      </c>
      <c r="D7" s="38" t="inlineStr">
        <is>
          <t>Equipo</t>
        </is>
      </c>
      <c r="E7" s="39" t="n">
        <v>20</v>
      </c>
      <c r="F7" s="40">
        <f>IF(C7="","",IF(E7="",Bote!$C$16,E7))</f>
        <v/>
      </c>
      <c r="G7" s="39" t="n">
        <v>20</v>
      </c>
      <c r="H7" s="34" t="n">
        <v>46287</v>
      </c>
      <c r="I7" s="38" t="inlineStr">
        <is>
          <t>Bizum</t>
        </is>
      </c>
      <c r="J7" s="41">
        <f>IF(C7="","",MAX(0,F7-G7))</f>
        <v/>
      </c>
      <c r="K7" s="18">
        <f>IF(C7="","",IF(AND(F7&gt;0,G7&gt;=F7),"Pagado",IF(G7&gt;0,"Parcial","Pendiente")))</f>
        <v/>
      </c>
      <c r="L7" s="18">
        <f>IF(C7="","",IF(K7="Pagado","OK",IF(Bote!$C$8="","En plazo",IF(TODAY()&gt;Bote!$C$8,"Reclamar ya",IF(Bote!$C$8-TODAY()&lt;=Bote!$C$10,"Recordar","En plazo")))))</f>
        <v/>
      </c>
      <c r="M7" s="34" t="n"/>
      <c r="N7" s="23">
        <f>IF(OR(C7="",M7=""),"",TODAY()-M7)</f>
        <v/>
      </c>
      <c r="O7" s="37" t="inlineStr">
        <is>
          <t>Prefiere dar 20 €</t>
        </is>
      </c>
      <c r="P7" s="42">
        <f>IF(C7="","",IF(N(J7)&gt;0,J7+ROW()/1000000,""))</f>
        <v/>
      </c>
    </row>
    <row r="8">
      <c r="B8" s="23">
        <f>IF(C8="","",ROW()-5)</f>
        <v/>
      </c>
      <c r="C8" s="37" t="inlineStr">
        <is>
          <t>Marta</t>
        </is>
      </c>
      <c r="D8" s="38" t="inlineStr">
        <is>
          <t>Equipo</t>
        </is>
      </c>
      <c r="E8" s="39" t="n"/>
      <c r="F8" s="40">
        <f>IF(C8="","",IF(E8="",Bote!$C$16,E8))</f>
        <v/>
      </c>
      <c r="G8" s="39" t="n">
        <v>23</v>
      </c>
      <c r="H8" s="34" t="n">
        <v>46286</v>
      </c>
      <c r="I8" s="38" t="inlineStr">
        <is>
          <t>Efectivo</t>
        </is>
      </c>
      <c r="J8" s="41">
        <f>IF(C8="","",MAX(0,F8-G8))</f>
        <v/>
      </c>
      <c r="K8" s="18">
        <f>IF(C8="","",IF(AND(F8&gt;0,G8&gt;=F8),"Pagado",IF(G8&gt;0,"Parcial","Pendiente")))</f>
        <v/>
      </c>
      <c r="L8" s="18">
        <f>IF(C8="","",IF(K8="Pagado","OK",IF(Bote!$C$8="","En plazo",IF(TODAY()&gt;Bote!$C$8,"Reclamar ya",IF(Bote!$C$8-TODAY()&lt;=Bote!$C$10,"Recordar","En plazo")))))</f>
        <v/>
      </c>
      <c r="M8" s="34" t="n"/>
      <c r="N8" s="23">
        <f>IF(OR(C8="",M8=""),"",TODAY()-M8)</f>
        <v/>
      </c>
      <c r="O8" s="37" t="inlineStr">
        <is>
          <t>Organizadora</t>
        </is>
      </c>
      <c r="P8" s="42">
        <f>IF(C8="","",IF(N(J8)&gt;0,J8+ROW()/1000000,""))</f>
        <v/>
      </c>
    </row>
    <row r="9">
      <c r="B9" s="23">
        <f>IF(C9="","",ROW()-5)</f>
        <v/>
      </c>
      <c r="C9" s="37" t="inlineStr">
        <is>
          <t>Pablo</t>
        </is>
      </c>
      <c r="D9" s="38" t="inlineStr">
        <is>
          <t>Equipo</t>
        </is>
      </c>
      <c r="E9" s="39" t="n">
        <v>25</v>
      </c>
      <c r="F9" s="40">
        <f>IF(C9="","",IF(E9="",Bote!$C$16,E9))</f>
        <v/>
      </c>
      <c r="G9" s="39" t="n">
        <v>25</v>
      </c>
      <c r="H9" s="34" t="n">
        <v>46288</v>
      </c>
      <c r="I9" s="38" t="inlineStr">
        <is>
          <t>Bizum</t>
        </is>
      </c>
      <c r="J9" s="41">
        <f>IF(C9="","",MAX(0,F9-G9))</f>
        <v/>
      </c>
      <c r="K9" s="18">
        <f>IF(C9="","",IF(AND(F9&gt;0,G9&gt;=F9),"Pagado",IF(G9&gt;0,"Parcial","Pendiente")))</f>
        <v/>
      </c>
      <c r="L9" s="18">
        <f>IF(C9="","",IF(K9="Pagado","OK",IF(Bote!$C$8="","En plazo",IF(TODAY()&gt;Bote!$C$8,"Reclamar ya",IF(Bote!$C$8-TODAY()&lt;=Bote!$C$10,"Recordar","En plazo")))))</f>
        <v/>
      </c>
      <c r="M9" s="34" t="n"/>
      <c r="N9" s="23">
        <f>IF(OR(C9="",M9=""),"",TODAY()-M9)</f>
        <v/>
      </c>
      <c r="O9" s="37" t="inlineStr"/>
      <c r="P9" s="42">
        <f>IF(C9="","",IF(N(J9)&gt;0,J9+ROW()/1000000,""))</f>
        <v/>
      </c>
    </row>
    <row r="10">
      <c r="B10" s="23">
        <f>IF(C10="","",ROW()-5)</f>
        <v/>
      </c>
      <c r="C10" s="37" t="inlineStr">
        <is>
          <t>Elena</t>
        </is>
      </c>
      <c r="D10" s="38" t="inlineStr">
        <is>
          <t>Equipo</t>
        </is>
      </c>
      <c r="E10" s="39" t="n"/>
      <c r="F10" s="40">
        <f>IF(C10="","",IF(E10="",Bote!$C$16,E10))</f>
        <v/>
      </c>
      <c r="G10" s="39" t="n">
        <v>23</v>
      </c>
      <c r="H10" s="34" t="n">
        <v>46289</v>
      </c>
      <c r="I10" s="38" t="inlineStr">
        <is>
          <t>Transferencia</t>
        </is>
      </c>
      <c r="J10" s="41">
        <f>IF(C10="","",MAX(0,F10-G10))</f>
        <v/>
      </c>
      <c r="K10" s="18">
        <f>IF(C10="","",IF(AND(F10&gt;0,G10&gt;=F10),"Pagado",IF(G10&gt;0,"Parcial","Pendiente")))</f>
        <v/>
      </c>
      <c r="L10" s="18">
        <f>IF(C10="","",IF(K10="Pagado","OK",IF(Bote!$C$8="","En plazo",IF(TODAY()&gt;Bote!$C$8,"Reclamar ya",IF(Bote!$C$8-TODAY()&lt;=Bote!$C$10,"Recordar","En plazo")))))</f>
        <v/>
      </c>
      <c r="M10" s="34" t="n"/>
      <c r="N10" s="23">
        <f>IF(OR(C10="",M10=""),"",TODAY()-M10)</f>
        <v/>
      </c>
      <c r="O10" s="37" t="inlineStr"/>
      <c r="P10" s="42">
        <f>IF(C10="","",IF(N(J10)&gt;0,J10+ROW()/1000000,""))</f>
        <v/>
      </c>
    </row>
    <row r="11">
      <c r="B11" s="23">
        <f>IF(C11="","",ROW()-5)</f>
        <v/>
      </c>
      <c r="C11" s="37" t="inlineStr">
        <is>
          <t>Jorge</t>
        </is>
      </c>
      <c r="D11" s="38" t="inlineStr">
        <is>
          <t>Dirección</t>
        </is>
      </c>
      <c r="E11" s="39" t="n">
        <v>50</v>
      </c>
      <c r="F11" s="40">
        <f>IF(C11="","",IF(E11="",Bote!$C$16,E11))</f>
        <v/>
      </c>
      <c r="G11" s="39" t="n">
        <v>50</v>
      </c>
      <c r="H11" s="34" t="n">
        <v>46290</v>
      </c>
      <c r="I11" s="38" t="inlineStr">
        <is>
          <t>Transferencia</t>
        </is>
      </c>
      <c r="J11" s="41">
        <f>IF(C11="","",MAX(0,F11-G11))</f>
        <v/>
      </c>
      <c r="K11" s="18">
        <f>IF(C11="","",IF(AND(F11&gt;0,G11&gt;=F11),"Pagado",IF(G11&gt;0,"Parcial","Pendiente")))</f>
        <v/>
      </c>
      <c r="L11" s="18">
        <f>IF(C11="","",IF(K11="Pagado","OK",IF(Bote!$C$8="","En plazo",IF(TODAY()&gt;Bote!$C$8,"Reclamar ya",IF(Bote!$C$8-TODAY()&lt;=Bote!$C$10,"Recordar","En plazo")))))</f>
        <v/>
      </c>
      <c r="M11" s="34" t="n"/>
      <c r="N11" s="23">
        <f>IF(OR(C11="",M11=""),"",TODAY()-M11)</f>
        <v/>
      </c>
      <c r="O11" s="37" t="inlineStr">
        <is>
          <t>En nombre de la dirección</t>
        </is>
      </c>
      <c r="P11" s="42">
        <f>IF(C11="","",IF(N(J11)&gt;0,J11+ROW()/1000000,""))</f>
        <v/>
      </c>
    </row>
    <row r="12">
      <c r="B12" s="23">
        <f>IF(C12="","",ROW()-5)</f>
        <v/>
      </c>
      <c r="C12" s="37" t="inlineStr">
        <is>
          <t>Lucía</t>
        </is>
      </c>
      <c r="D12" s="38" t="inlineStr">
        <is>
          <t>Dirección</t>
        </is>
      </c>
      <c r="E12" s="39" t="n">
        <v>30</v>
      </c>
      <c r="F12" s="40">
        <f>IF(C12="","",IF(E12="",Bote!$C$16,E12))</f>
        <v/>
      </c>
      <c r="G12" s="39" t="n">
        <v>30</v>
      </c>
      <c r="H12" s="34" t="n">
        <v>46290</v>
      </c>
      <c r="I12" s="38" t="inlineStr">
        <is>
          <t>Bizum</t>
        </is>
      </c>
      <c r="J12" s="41">
        <f>IF(C12="","",MAX(0,F12-G12))</f>
        <v/>
      </c>
      <c r="K12" s="18">
        <f>IF(C12="","",IF(AND(F12&gt;0,G12&gt;=F12),"Pagado",IF(G12&gt;0,"Parcial","Pendiente")))</f>
        <v/>
      </c>
      <c r="L12" s="18">
        <f>IF(C12="","",IF(K12="Pagado","OK",IF(Bote!$C$8="","En plazo",IF(TODAY()&gt;Bote!$C$8,"Reclamar ya",IF(Bote!$C$8-TODAY()&lt;=Bote!$C$10,"Recordar","En plazo")))))</f>
        <v/>
      </c>
      <c r="M12" s="34" t="n"/>
      <c r="N12" s="23">
        <f>IF(OR(C12="",M12=""),"",TODAY()-M12)</f>
        <v/>
      </c>
      <c r="O12" s="37" t="inlineStr"/>
      <c r="P12" s="42">
        <f>IF(C12="","",IF(N(J12)&gt;0,J12+ROW()/1000000,""))</f>
        <v/>
      </c>
    </row>
    <row r="13">
      <c r="B13" s="23">
        <f>IF(C13="","",ROW()-5)</f>
        <v/>
      </c>
      <c r="C13" s="37" t="inlineStr">
        <is>
          <t>Sergio</t>
        </is>
      </c>
      <c r="D13" s="38" t="inlineStr">
        <is>
          <t>Otros departamentos</t>
        </is>
      </c>
      <c r="E13" s="39" t="n"/>
      <c r="F13" s="40">
        <f>IF(C13="","",IF(E13="",Bote!$C$16,E13))</f>
        <v/>
      </c>
      <c r="G13" s="39" t="n">
        <v>10</v>
      </c>
      <c r="H13" s="34" t="n">
        <v>46293</v>
      </c>
      <c r="I13" s="38" t="inlineStr">
        <is>
          <t>Efectivo</t>
        </is>
      </c>
      <c r="J13" s="41">
        <f>IF(C13="","",MAX(0,F13-G13))</f>
        <v/>
      </c>
      <c r="K13" s="18">
        <f>IF(C13="","",IF(AND(F13&gt;0,G13&gt;=F13),"Pagado",IF(G13&gt;0,"Parcial","Pendiente")))</f>
        <v/>
      </c>
      <c r="L13" s="18">
        <f>IF(C13="","",IF(K13="Pagado","OK",IF(Bote!$C$8="","En plazo",IF(TODAY()&gt;Bote!$C$8,"Reclamar ya",IF(Bote!$C$8-TODAY()&lt;=Bote!$C$10,"Recordar","En plazo")))))</f>
        <v/>
      </c>
      <c r="M13" s="34" t="n">
        <v>46296</v>
      </c>
      <c r="N13" s="23">
        <f>IF(OR(C13="",M13=""),"",TODAY()-M13)</f>
        <v/>
      </c>
      <c r="O13" s="37" t="inlineStr">
        <is>
          <t>Pagará el resto esta semana</t>
        </is>
      </c>
      <c r="P13" s="42">
        <f>IF(C13="","",IF(N(J13)&gt;0,J13+ROW()/1000000,""))</f>
        <v/>
      </c>
    </row>
    <row r="14">
      <c r="B14" s="23">
        <f>IF(C14="","",ROW()-5)</f>
        <v/>
      </c>
      <c r="C14" s="37" t="inlineStr">
        <is>
          <t>Irene</t>
        </is>
      </c>
      <c r="D14" s="38" t="inlineStr">
        <is>
          <t>Otros departamentos</t>
        </is>
      </c>
      <c r="E14" s="39" t="n"/>
      <c r="F14" s="40">
        <f>IF(C14="","",IF(E14="",Bote!$C$16,E14))</f>
        <v/>
      </c>
      <c r="G14" s="39" t="n">
        <v>23</v>
      </c>
      <c r="H14" s="34" t="n">
        <v>46293</v>
      </c>
      <c r="I14" s="38" t="inlineStr">
        <is>
          <t>Bizum</t>
        </is>
      </c>
      <c r="J14" s="41">
        <f>IF(C14="","",MAX(0,F14-G14))</f>
        <v/>
      </c>
      <c r="K14" s="18">
        <f>IF(C14="","",IF(AND(F14&gt;0,G14&gt;=F14),"Pagado",IF(G14&gt;0,"Parcial","Pendiente")))</f>
        <v/>
      </c>
      <c r="L14" s="18">
        <f>IF(C14="","",IF(K14="Pagado","OK",IF(Bote!$C$8="","En plazo",IF(TODAY()&gt;Bote!$C$8,"Reclamar ya",IF(Bote!$C$8-TODAY()&lt;=Bote!$C$10,"Recordar","En plazo")))))</f>
        <v/>
      </c>
      <c r="M14" s="34" t="n"/>
      <c r="N14" s="23">
        <f>IF(OR(C14="",M14=""),"",TODAY()-M14)</f>
        <v/>
      </c>
      <c r="O14" s="37" t="inlineStr"/>
      <c r="P14" s="42">
        <f>IF(C14="","",IF(N(J14)&gt;0,J14+ROW()/1000000,""))</f>
        <v/>
      </c>
    </row>
    <row r="15">
      <c r="B15" s="23">
        <f>IF(C15="","",ROW()-5)</f>
        <v/>
      </c>
      <c r="C15" s="37" t="inlineStr">
        <is>
          <t>Raúl</t>
        </is>
      </c>
      <c r="D15" s="38" t="inlineStr">
        <is>
          <t>Otros departamentos</t>
        </is>
      </c>
      <c r="E15" s="39" t="n">
        <v>15</v>
      </c>
      <c r="F15" s="40">
        <f>IF(C15="","",IF(E15="",Bote!$C$16,E15))</f>
        <v/>
      </c>
      <c r="G15" s="39" t="n">
        <v>15</v>
      </c>
      <c r="H15" s="34" t="n">
        <v>46294</v>
      </c>
      <c r="I15" s="38" t="inlineStr">
        <is>
          <t>Efectivo</t>
        </is>
      </c>
      <c r="J15" s="41">
        <f>IF(C15="","",MAX(0,F15-G15))</f>
        <v/>
      </c>
      <c r="K15" s="18">
        <f>IF(C15="","",IF(AND(F15&gt;0,G15&gt;=F15),"Pagado",IF(G15&gt;0,"Parcial","Pendiente")))</f>
        <v/>
      </c>
      <c r="L15" s="18">
        <f>IF(C15="","",IF(K15="Pagado","OK",IF(Bote!$C$8="","En plazo",IF(TODAY()&gt;Bote!$C$8,"Reclamar ya",IF(Bote!$C$8-TODAY()&lt;=Bote!$C$10,"Recordar","En plazo")))))</f>
        <v/>
      </c>
      <c r="M15" s="34" t="n"/>
      <c r="N15" s="23">
        <f>IF(OR(C15="",M15=""),"",TODAY()-M15)</f>
        <v/>
      </c>
      <c r="O15" s="37" t="inlineStr"/>
      <c r="P15" s="42">
        <f>IF(C15="","",IF(N(J15)&gt;0,J15+ROW()/1000000,""))</f>
        <v/>
      </c>
    </row>
    <row r="16">
      <c r="B16" s="23">
        <f>IF(C16="","",ROW()-5)</f>
        <v/>
      </c>
      <c r="C16" s="37" t="inlineStr">
        <is>
          <t>Nuria</t>
        </is>
      </c>
      <c r="D16" s="38" t="inlineStr">
        <is>
          <t>Equipo</t>
        </is>
      </c>
      <c r="E16" s="39" t="n"/>
      <c r="F16" s="40">
        <f>IF(C16="","",IF(E16="",Bote!$C$16,E16))</f>
        <v/>
      </c>
      <c r="G16" s="39" t="n"/>
      <c r="H16" s="34" t="n"/>
      <c r="I16" s="38" t="n"/>
      <c r="J16" s="41">
        <f>IF(C16="","",MAX(0,F16-G16))</f>
        <v/>
      </c>
      <c r="K16" s="18">
        <f>IF(C16="","",IF(AND(F16&gt;0,G16&gt;=F16),"Pagado",IF(G16&gt;0,"Parcial","Pendiente")))</f>
        <v/>
      </c>
      <c r="L16" s="18">
        <f>IF(C16="","",IF(K16="Pagado","OK",IF(Bote!$C$8="","En plazo",IF(TODAY()&gt;Bote!$C$8,"Reclamar ya",IF(Bote!$C$8-TODAY()&lt;=Bote!$C$10,"Recordar","En plazo")))))</f>
        <v/>
      </c>
      <c r="M16" s="34" t="n">
        <v>46295</v>
      </c>
      <c r="N16" s="23">
        <f>IF(OR(C16="",M16=""),"",TODAY()-M16)</f>
        <v/>
      </c>
      <c r="O16" s="37" t="inlineStr">
        <is>
          <t>Dice que paga el lunes</t>
        </is>
      </c>
      <c r="P16" s="42">
        <f>IF(C16="","",IF(N(J16)&gt;0,J16+ROW()/1000000,""))</f>
        <v/>
      </c>
    </row>
    <row r="17">
      <c r="B17" s="23">
        <f>IF(C17="","",ROW()-5)</f>
        <v/>
      </c>
      <c r="C17" s="37" t="inlineStr">
        <is>
          <t>David</t>
        </is>
      </c>
      <c r="D17" s="38" t="inlineStr">
        <is>
          <t>Amigos y familia</t>
        </is>
      </c>
      <c r="E17" s="39" t="n">
        <v>20</v>
      </c>
      <c r="F17" s="40">
        <f>IF(C17="","",IF(E17="",Bote!$C$16,E17))</f>
        <v/>
      </c>
      <c r="G17" s="39" t="n"/>
      <c r="H17" s="34" t="n"/>
      <c r="I17" s="38" t="n"/>
      <c r="J17" s="41">
        <f>IF(C17="","",MAX(0,F17-G17))</f>
        <v/>
      </c>
      <c r="K17" s="18">
        <f>IF(C17="","",IF(AND(F17&gt;0,G17&gt;=F17),"Pagado",IF(G17&gt;0,"Parcial","Pendiente")))</f>
        <v/>
      </c>
      <c r="L17" s="18">
        <f>IF(C17="","",IF(K17="Pagado","OK",IF(Bote!$C$8="","En plazo",IF(TODAY()&gt;Bote!$C$8,"Reclamar ya",IF(Bote!$C$8-TODAY()&lt;=Bote!$C$10,"Recordar","En plazo")))))</f>
        <v/>
      </c>
      <c r="M17" s="34" t="n">
        <v>46296</v>
      </c>
      <c r="N17" s="23">
        <f>IF(OR(C17="",M17=""),"",TODAY()-M17)</f>
        <v/>
      </c>
      <c r="O17" s="37" t="inlineStr"/>
      <c r="P17" s="42">
        <f>IF(C17="","",IF(N(J17)&gt;0,J17+ROW()/1000000,""))</f>
        <v/>
      </c>
    </row>
    <row r="18">
      <c r="B18" s="23">
        <f>IF(C18="","",ROW()-5)</f>
        <v/>
      </c>
      <c r="C18" s="37" t="inlineStr">
        <is>
          <t>Paula</t>
        </is>
      </c>
      <c r="D18" s="38" t="inlineStr">
        <is>
          <t>Amigos y familia</t>
        </is>
      </c>
      <c r="E18" s="39" t="n">
        <v>25</v>
      </c>
      <c r="F18" s="40">
        <f>IF(C18="","",IF(E18="",Bote!$C$16,E18))</f>
        <v/>
      </c>
      <c r="G18" s="39" t="n">
        <v>25</v>
      </c>
      <c r="H18" s="34" t="n">
        <v>46295</v>
      </c>
      <c r="I18" s="38" t="inlineStr">
        <is>
          <t>Bizum</t>
        </is>
      </c>
      <c r="J18" s="41">
        <f>IF(C18="","",MAX(0,F18-G18))</f>
        <v/>
      </c>
      <c r="K18" s="18">
        <f>IF(C18="","",IF(AND(F18&gt;0,G18&gt;=F18),"Pagado",IF(G18&gt;0,"Parcial","Pendiente")))</f>
        <v/>
      </c>
      <c r="L18" s="18">
        <f>IF(C18="","",IF(K18="Pagado","OK",IF(Bote!$C$8="","En plazo",IF(TODAY()&gt;Bote!$C$8,"Reclamar ya",IF(Bote!$C$8-TODAY()&lt;=Bote!$C$10,"Recordar","En plazo")))))</f>
        <v/>
      </c>
      <c r="M18" s="34" t="n"/>
      <c r="N18" s="23">
        <f>IF(OR(C18="",M18=""),"",TODAY()-M18)</f>
        <v/>
      </c>
      <c r="O18" s="37" t="inlineStr"/>
      <c r="P18" s="42">
        <f>IF(C18="","",IF(N(J18)&gt;0,J18+ROW()/1000000,""))</f>
        <v/>
      </c>
    </row>
    <row r="19">
      <c r="B19" s="23">
        <f>IF(C19="","",ROW()-5)</f>
        <v/>
      </c>
      <c r="C19" s="37" t="inlineStr">
        <is>
          <t>Álvaro</t>
        </is>
      </c>
      <c r="D19" s="38" t="inlineStr">
        <is>
          <t>Equipo</t>
        </is>
      </c>
      <c r="E19" s="39" t="n"/>
      <c r="F19" s="40">
        <f>IF(C19="","",IF(E19="",Bote!$C$16,E19))</f>
        <v/>
      </c>
      <c r="G19" s="39" t="n"/>
      <c r="H19" s="34" t="n"/>
      <c r="I19" s="38" t="n"/>
      <c r="J19" s="41">
        <f>IF(C19="","",MAX(0,F19-G19))</f>
        <v/>
      </c>
      <c r="K19" s="18">
        <f>IF(C19="","",IF(AND(F19&gt;0,G19&gt;=F19),"Pagado",IF(G19&gt;0,"Parcial","Pendiente")))</f>
        <v/>
      </c>
      <c r="L19" s="18">
        <f>IF(C19="","",IF(K19="Pagado","OK",IF(Bote!$C$8="","En plazo",IF(TODAY()&gt;Bote!$C$8,"Reclamar ya",IF(Bote!$C$8-TODAY()&lt;=Bote!$C$10,"Recordar","En plazo")))))</f>
        <v/>
      </c>
      <c r="M19" s="34" t="n"/>
      <c r="N19" s="23">
        <f>IF(OR(C19="",M19=""),"",TODAY()-M19)</f>
        <v/>
      </c>
      <c r="O19" s="37" t="inlineStr">
        <is>
          <t>Aún sin avisar</t>
        </is>
      </c>
      <c r="P19" s="42">
        <f>IF(C19="","",IF(N(J19)&gt;0,J19+ROW()/1000000,""))</f>
        <v/>
      </c>
    </row>
    <row r="20">
      <c r="B20" s="23">
        <f>IF(C20="","",ROW()-5)</f>
        <v/>
      </c>
      <c r="C20" s="37" t="n"/>
      <c r="D20" s="38" t="n"/>
      <c r="E20" s="39" t="n"/>
      <c r="F20" s="40">
        <f>IF(C20="","",IF(E20="",Bote!$C$16,E20))</f>
        <v/>
      </c>
      <c r="G20" s="39" t="n"/>
      <c r="H20" s="34" t="n"/>
      <c r="I20" s="38" t="n"/>
      <c r="J20" s="41">
        <f>IF(C20="","",MAX(0,F20-G20))</f>
        <v/>
      </c>
      <c r="K20" s="18">
        <f>IF(C20="","",IF(AND(F20&gt;0,G20&gt;=F20),"Pagado",IF(G20&gt;0,"Parcial","Pendiente")))</f>
        <v/>
      </c>
      <c r="L20" s="18">
        <f>IF(C20="","",IF(K20="Pagado","OK",IF(Bote!$C$8="","En plazo",IF(TODAY()&gt;Bote!$C$8,"Reclamar ya",IF(Bote!$C$8-TODAY()&lt;=Bote!$C$10,"Recordar","En plazo")))))</f>
        <v/>
      </c>
      <c r="M20" s="34" t="n"/>
      <c r="N20" s="23">
        <f>IF(OR(C20="",M20=""),"",TODAY()-M20)</f>
        <v/>
      </c>
      <c r="O20" s="37" t="n"/>
      <c r="P20" s="42">
        <f>IF(C20="","",IF(N(J20)&gt;0,J20+ROW()/1000000,""))</f>
        <v/>
      </c>
    </row>
    <row r="21">
      <c r="B21" s="23">
        <f>IF(C21="","",ROW()-5)</f>
        <v/>
      </c>
      <c r="C21" s="37" t="n"/>
      <c r="D21" s="38" t="n"/>
      <c r="E21" s="39" t="n"/>
      <c r="F21" s="40">
        <f>IF(C21="","",IF(E21="",Bote!$C$16,E21))</f>
        <v/>
      </c>
      <c r="G21" s="39" t="n"/>
      <c r="H21" s="34" t="n"/>
      <c r="I21" s="38" t="n"/>
      <c r="J21" s="41">
        <f>IF(C21="","",MAX(0,F21-G21))</f>
        <v/>
      </c>
      <c r="K21" s="18">
        <f>IF(C21="","",IF(AND(F21&gt;0,G21&gt;=F21),"Pagado",IF(G21&gt;0,"Parcial","Pendiente")))</f>
        <v/>
      </c>
      <c r="L21" s="18">
        <f>IF(C21="","",IF(K21="Pagado","OK",IF(Bote!$C$8="","En plazo",IF(TODAY()&gt;Bote!$C$8,"Reclamar ya",IF(Bote!$C$8-TODAY()&lt;=Bote!$C$10,"Recordar","En plazo")))))</f>
        <v/>
      </c>
      <c r="M21" s="34" t="n"/>
      <c r="N21" s="23">
        <f>IF(OR(C21="",M21=""),"",TODAY()-M21)</f>
        <v/>
      </c>
      <c r="O21" s="37" t="n"/>
      <c r="P21" s="42">
        <f>IF(C21="","",IF(N(J21)&gt;0,J21+ROW()/1000000,""))</f>
        <v/>
      </c>
    </row>
    <row r="22">
      <c r="B22" s="23">
        <f>IF(C22="","",ROW()-5)</f>
        <v/>
      </c>
      <c r="C22" s="37" t="n"/>
      <c r="D22" s="38" t="n"/>
      <c r="E22" s="39" t="n"/>
      <c r="F22" s="40">
        <f>IF(C22="","",IF(E22="",Bote!$C$16,E22))</f>
        <v/>
      </c>
      <c r="G22" s="39" t="n"/>
      <c r="H22" s="34" t="n"/>
      <c r="I22" s="38" t="n"/>
      <c r="J22" s="41">
        <f>IF(C22="","",MAX(0,F22-G22))</f>
        <v/>
      </c>
      <c r="K22" s="18">
        <f>IF(C22="","",IF(AND(F22&gt;0,G22&gt;=F22),"Pagado",IF(G22&gt;0,"Parcial","Pendiente")))</f>
        <v/>
      </c>
      <c r="L22" s="18">
        <f>IF(C22="","",IF(K22="Pagado","OK",IF(Bote!$C$8="","En plazo",IF(TODAY()&gt;Bote!$C$8,"Reclamar ya",IF(Bote!$C$8-TODAY()&lt;=Bote!$C$10,"Recordar","En plazo")))))</f>
        <v/>
      </c>
      <c r="M22" s="34" t="n"/>
      <c r="N22" s="23">
        <f>IF(OR(C22="",M22=""),"",TODAY()-M22)</f>
        <v/>
      </c>
      <c r="O22" s="37" t="n"/>
      <c r="P22" s="42">
        <f>IF(C22="","",IF(N(J22)&gt;0,J22+ROW()/1000000,""))</f>
        <v/>
      </c>
    </row>
    <row r="23">
      <c r="B23" s="23">
        <f>IF(C23="","",ROW()-5)</f>
        <v/>
      </c>
      <c r="C23" s="37" t="n"/>
      <c r="D23" s="38" t="n"/>
      <c r="E23" s="39" t="n"/>
      <c r="F23" s="40">
        <f>IF(C23="","",IF(E23="",Bote!$C$16,E23))</f>
        <v/>
      </c>
      <c r="G23" s="39" t="n"/>
      <c r="H23" s="34" t="n"/>
      <c r="I23" s="38" t="n"/>
      <c r="J23" s="41">
        <f>IF(C23="","",MAX(0,F23-G23))</f>
        <v/>
      </c>
      <c r="K23" s="18">
        <f>IF(C23="","",IF(AND(F23&gt;0,G23&gt;=F23),"Pagado",IF(G23&gt;0,"Parcial","Pendiente")))</f>
        <v/>
      </c>
      <c r="L23" s="18">
        <f>IF(C23="","",IF(K23="Pagado","OK",IF(Bote!$C$8="","En plazo",IF(TODAY()&gt;Bote!$C$8,"Reclamar ya",IF(Bote!$C$8-TODAY()&lt;=Bote!$C$10,"Recordar","En plazo")))))</f>
        <v/>
      </c>
      <c r="M23" s="34" t="n"/>
      <c r="N23" s="23">
        <f>IF(OR(C23="",M23=""),"",TODAY()-M23)</f>
        <v/>
      </c>
      <c r="O23" s="37" t="n"/>
      <c r="P23" s="42">
        <f>IF(C23="","",IF(N(J23)&gt;0,J23+ROW()/1000000,""))</f>
        <v/>
      </c>
    </row>
    <row r="24">
      <c r="B24" s="23">
        <f>IF(C24="","",ROW()-5)</f>
        <v/>
      </c>
      <c r="C24" s="37" t="n"/>
      <c r="D24" s="38" t="n"/>
      <c r="E24" s="39" t="n"/>
      <c r="F24" s="40">
        <f>IF(C24="","",IF(E24="",Bote!$C$16,E24))</f>
        <v/>
      </c>
      <c r="G24" s="39" t="n"/>
      <c r="H24" s="34" t="n"/>
      <c r="I24" s="38" t="n"/>
      <c r="J24" s="41">
        <f>IF(C24="","",MAX(0,F24-G24))</f>
        <v/>
      </c>
      <c r="K24" s="18">
        <f>IF(C24="","",IF(AND(F24&gt;0,G24&gt;=F24),"Pagado",IF(G24&gt;0,"Parcial","Pendiente")))</f>
        <v/>
      </c>
      <c r="L24" s="18">
        <f>IF(C24="","",IF(K24="Pagado","OK",IF(Bote!$C$8="","En plazo",IF(TODAY()&gt;Bote!$C$8,"Reclamar ya",IF(Bote!$C$8-TODAY()&lt;=Bote!$C$10,"Recordar","En plazo")))))</f>
        <v/>
      </c>
      <c r="M24" s="34" t="n"/>
      <c r="N24" s="23">
        <f>IF(OR(C24="",M24=""),"",TODAY()-M24)</f>
        <v/>
      </c>
      <c r="O24" s="37" t="n"/>
      <c r="P24" s="42">
        <f>IF(C24="","",IF(N(J24)&gt;0,J24+ROW()/1000000,""))</f>
        <v/>
      </c>
    </row>
    <row r="25">
      <c r="B25" s="23">
        <f>IF(C25="","",ROW()-5)</f>
        <v/>
      </c>
      <c r="C25" s="37" t="n"/>
      <c r="D25" s="38" t="n"/>
      <c r="E25" s="39" t="n"/>
      <c r="F25" s="40">
        <f>IF(C25="","",IF(E25="",Bote!$C$16,E25))</f>
        <v/>
      </c>
      <c r="G25" s="39" t="n"/>
      <c r="H25" s="34" t="n"/>
      <c r="I25" s="38" t="n"/>
      <c r="J25" s="41">
        <f>IF(C25="","",MAX(0,F25-G25))</f>
        <v/>
      </c>
      <c r="K25" s="18">
        <f>IF(C25="","",IF(AND(F25&gt;0,G25&gt;=F25),"Pagado",IF(G25&gt;0,"Parcial","Pendiente")))</f>
        <v/>
      </c>
      <c r="L25" s="18">
        <f>IF(C25="","",IF(K25="Pagado","OK",IF(Bote!$C$8="","En plazo",IF(TODAY()&gt;Bote!$C$8,"Reclamar ya",IF(Bote!$C$8-TODAY()&lt;=Bote!$C$10,"Recordar","En plazo")))))</f>
        <v/>
      </c>
      <c r="M25" s="34" t="n"/>
      <c r="N25" s="23">
        <f>IF(OR(C25="",M25=""),"",TODAY()-M25)</f>
        <v/>
      </c>
      <c r="O25" s="37" t="n"/>
      <c r="P25" s="42">
        <f>IF(C25="","",IF(N(J25)&gt;0,J25+ROW()/1000000,""))</f>
        <v/>
      </c>
    </row>
    <row r="26">
      <c r="B26" s="23">
        <f>IF(C26="","",ROW()-5)</f>
        <v/>
      </c>
      <c r="C26" s="37" t="n"/>
      <c r="D26" s="38" t="n"/>
      <c r="E26" s="39" t="n"/>
      <c r="F26" s="40">
        <f>IF(C26="","",IF(E26="",Bote!$C$16,E26))</f>
        <v/>
      </c>
      <c r="G26" s="39" t="n"/>
      <c r="H26" s="34" t="n"/>
      <c r="I26" s="38" t="n"/>
      <c r="J26" s="41">
        <f>IF(C26="","",MAX(0,F26-G26))</f>
        <v/>
      </c>
      <c r="K26" s="18">
        <f>IF(C26="","",IF(AND(F26&gt;0,G26&gt;=F26),"Pagado",IF(G26&gt;0,"Parcial","Pendiente")))</f>
        <v/>
      </c>
      <c r="L26" s="18">
        <f>IF(C26="","",IF(K26="Pagado","OK",IF(Bote!$C$8="","En plazo",IF(TODAY()&gt;Bote!$C$8,"Reclamar ya",IF(Bote!$C$8-TODAY()&lt;=Bote!$C$10,"Recordar","En plazo")))))</f>
        <v/>
      </c>
      <c r="M26" s="34" t="n"/>
      <c r="N26" s="23">
        <f>IF(OR(C26="",M26=""),"",TODAY()-M26)</f>
        <v/>
      </c>
      <c r="O26" s="37" t="n"/>
      <c r="P26" s="42">
        <f>IF(C26="","",IF(N(J26)&gt;0,J26+ROW()/1000000,""))</f>
        <v/>
      </c>
    </row>
    <row r="27">
      <c r="B27" s="23">
        <f>IF(C27="","",ROW()-5)</f>
        <v/>
      </c>
      <c r="C27" s="37" t="n"/>
      <c r="D27" s="38" t="n"/>
      <c r="E27" s="39" t="n"/>
      <c r="F27" s="40">
        <f>IF(C27="","",IF(E27="",Bote!$C$16,E27))</f>
        <v/>
      </c>
      <c r="G27" s="39" t="n"/>
      <c r="H27" s="34" t="n"/>
      <c r="I27" s="38" t="n"/>
      <c r="J27" s="41">
        <f>IF(C27="","",MAX(0,F27-G27))</f>
        <v/>
      </c>
      <c r="K27" s="18">
        <f>IF(C27="","",IF(AND(F27&gt;0,G27&gt;=F27),"Pagado",IF(G27&gt;0,"Parcial","Pendiente")))</f>
        <v/>
      </c>
      <c r="L27" s="18">
        <f>IF(C27="","",IF(K27="Pagado","OK",IF(Bote!$C$8="","En plazo",IF(TODAY()&gt;Bote!$C$8,"Reclamar ya",IF(Bote!$C$8-TODAY()&lt;=Bote!$C$10,"Recordar","En plazo")))))</f>
        <v/>
      </c>
      <c r="M27" s="34" t="n"/>
      <c r="N27" s="23">
        <f>IF(OR(C27="",M27=""),"",TODAY()-M27)</f>
        <v/>
      </c>
      <c r="O27" s="37" t="n"/>
      <c r="P27" s="42">
        <f>IF(C27="","",IF(N(J27)&gt;0,J27+ROW()/1000000,""))</f>
        <v/>
      </c>
    </row>
    <row r="28">
      <c r="B28" s="23">
        <f>IF(C28="","",ROW()-5)</f>
        <v/>
      </c>
      <c r="C28" s="37" t="n"/>
      <c r="D28" s="38" t="n"/>
      <c r="E28" s="39" t="n"/>
      <c r="F28" s="40">
        <f>IF(C28="","",IF(E28="",Bote!$C$16,E28))</f>
        <v/>
      </c>
      <c r="G28" s="39" t="n"/>
      <c r="H28" s="34" t="n"/>
      <c r="I28" s="38" t="n"/>
      <c r="J28" s="41">
        <f>IF(C28="","",MAX(0,F28-G28))</f>
        <v/>
      </c>
      <c r="K28" s="18">
        <f>IF(C28="","",IF(AND(F28&gt;0,G28&gt;=F28),"Pagado",IF(G28&gt;0,"Parcial","Pendiente")))</f>
        <v/>
      </c>
      <c r="L28" s="18">
        <f>IF(C28="","",IF(K28="Pagado","OK",IF(Bote!$C$8="","En plazo",IF(TODAY()&gt;Bote!$C$8,"Reclamar ya",IF(Bote!$C$8-TODAY()&lt;=Bote!$C$10,"Recordar","En plazo")))))</f>
        <v/>
      </c>
      <c r="M28" s="34" t="n"/>
      <c r="N28" s="23">
        <f>IF(OR(C28="",M28=""),"",TODAY()-M28)</f>
        <v/>
      </c>
      <c r="O28" s="37" t="n"/>
      <c r="P28" s="42">
        <f>IF(C28="","",IF(N(J28)&gt;0,J28+ROW()/1000000,""))</f>
        <v/>
      </c>
    </row>
    <row r="29">
      <c r="B29" s="23">
        <f>IF(C29="","",ROW()-5)</f>
        <v/>
      </c>
      <c r="C29" s="37" t="n"/>
      <c r="D29" s="38" t="n"/>
      <c r="E29" s="39" t="n"/>
      <c r="F29" s="40">
        <f>IF(C29="","",IF(E29="",Bote!$C$16,E29))</f>
        <v/>
      </c>
      <c r="G29" s="39" t="n"/>
      <c r="H29" s="34" t="n"/>
      <c r="I29" s="38" t="n"/>
      <c r="J29" s="41">
        <f>IF(C29="","",MAX(0,F29-G29))</f>
        <v/>
      </c>
      <c r="K29" s="18">
        <f>IF(C29="","",IF(AND(F29&gt;0,G29&gt;=F29),"Pagado",IF(G29&gt;0,"Parcial","Pendiente")))</f>
        <v/>
      </c>
      <c r="L29" s="18">
        <f>IF(C29="","",IF(K29="Pagado","OK",IF(Bote!$C$8="","En plazo",IF(TODAY()&gt;Bote!$C$8,"Reclamar ya",IF(Bote!$C$8-TODAY()&lt;=Bote!$C$10,"Recordar","En plazo")))))</f>
        <v/>
      </c>
      <c r="M29" s="34" t="n"/>
      <c r="N29" s="23">
        <f>IF(OR(C29="",M29=""),"",TODAY()-M29)</f>
        <v/>
      </c>
      <c r="O29" s="37" t="n"/>
      <c r="P29" s="42">
        <f>IF(C29="","",IF(N(J29)&gt;0,J29+ROW()/1000000,""))</f>
        <v/>
      </c>
    </row>
    <row r="30">
      <c r="B30" s="23">
        <f>IF(C30="","",ROW()-5)</f>
        <v/>
      </c>
      <c r="C30" s="37" t="n"/>
      <c r="D30" s="38" t="n"/>
      <c r="E30" s="39" t="n"/>
      <c r="F30" s="40">
        <f>IF(C30="","",IF(E30="",Bote!$C$16,E30))</f>
        <v/>
      </c>
      <c r="G30" s="39" t="n"/>
      <c r="H30" s="34" t="n"/>
      <c r="I30" s="38" t="n"/>
      <c r="J30" s="41">
        <f>IF(C30="","",MAX(0,F30-G30))</f>
        <v/>
      </c>
      <c r="K30" s="18">
        <f>IF(C30="","",IF(AND(F30&gt;0,G30&gt;=F30),"Pagado",IF(G30&gt;0,"Parcial","Pendiente")))</f>
        <v/>
      </c>
      <c r="L30" s="18">
        <f>IF(C30="","",IF(K30="Pagado","OK",IF(Bote!$C$8="","En plazo",IF(TODAY()&gt;Bote!$C$8,"Reclamar ya",IF(Bote!$C$8-TODAY()&lt;=Bote!$C$10,"Recordar","En plazo")))))</f>
        <v/>
      </c>
      <c r="M30" s="34" t="n"/>
      <c r="N30" s="23">
        <f>IF(OR(C30="",M30=""),"",TODAY()-M30)</f>
        <v/>
      </c>
      <c r="O30" s="37" t="n"/>
      <c r="P30" s="42">
        <f>IF(C30="","",IF(N(J30)&gt;0,J30+ROW()/1000000,""))</f>
        <v/>
      </c>
    </row>
    <row r="31">
      <c r="B31" s="23">
        <f>IF(C31="","",ROW()-5)</f>
        <v/>
      </c>
      <c r="C31" s="37" t="n"/>
      <c r="D31" s="38" t="n"/>
      <c r="E31" s="39" t="n"/>
      <c r="F31" s="40">
        <f>IF(C31="","",IF(E31="",Bote!$C$16,E31))</f>
        <v/>
      </c>
      <c r="G31" s="39" t="n"/>
      <c r="H31" s="34" t="n"/>
      <c r="I31" s="38" t="n"/>
      <c r="J31" s="41">
        <f>IF(C31="","",MAX(0,F31-G31))</f>
        <v/>
      </c>
      <c r="K31" s="18">
        <f>IF(C31="","",IF(AND(F31&gt;0,G31&gt;=F31),"Pagado",IF(G31&gt;0,"Parcial","Pendiente")))</f>
        <v/>
      </c>
      <c r="L31" s="18">
        <f>IF(C31="","",IF(K31="Pagado","OK",IF(Bote!$C$8="","En plazo",IF(TODAY()&gt;Bote!$C$8,"Reclamar ya",IF(Bote!$C$8-TODAY()&lt;=Bote!$C$10,"Recordar","En plazo")))))</f>
        <v/>
      </c>
      <c r="M31" s="34" t="n"/>
      <c r="N31" s="23">
        <f>IF(OR(C31="",M31=""),"",TODAY()-M31)</f>
        <v/>
      </c>
      <c r="O31" s="37" t="n"/>
      <c r="P31" s="42">
        <f>IF(C31="","",IF(N(J31)&gt;0,J31+ROW()/1000000,""))</f>
        <v/>
      </c>
    </row>
    <row r="32">
      <c r="B32" s="23">
        <f>IF(C32="","",ROW()-5)</f>
        <v/>
      </c>
      <c r="C32" s="37" t="n"/>
      <c r="D32" s="38" t="n"/>
      <c r="E32" s="39" t="n"/>
      <c r="F32" s="40">
        <f>IF(C32="","",IF(E32="",Bote!$C$16,E32))</f>
        <v/>
      </c>
      <c r="G32" s="39" t="n"/>
      <c r="H32" s="34" t="n"/>
      <c r="I32" s="38" t="n"/>
      <c r="J32" s="41">
        <f>IF(C32="","",MAX(0,F32-G32))</f>
        <v/>
      </c>
      <c r="K32" s="18">
        <f>IF(C32="","",IF(AND(F32&gt;0,G32&gt;=F32),"Pagado",IF(G32&gt;0,"Parcial","Pendiente")))</f>
        <v/>
      </c>
      <c r="L32" s="18">
        <f>IF(C32="","",IF(K32="Pagado","OK",IF(Bote!$C$8="","En plazo",IF(TODAY()&gt;Bote!$C$8,"Reclamar ya",IF(Bote!$C$8-TODAY()&lt;=Bote!$C$10,"Recordar","En plazo")))))</f>
        <v/>
      </c>
      <c r="M32" s="34" t="n"/>
      <c r="N32" s="23">
        <f>IF(OR(C32="",M32=""),"",TODAY()-M32)</f>
        <v/>
      </c>
      <c r="O32" s="37" t="n"/>
      <c r="P32" s="42">
        <f>IF(C32="","",IF(N(J32)&gt;0,J32+ROW()/1000000,""))</f>
        <v/>
      </c>
    </row>
    <row r="33">
      <c r="B33" s="23">
        <f>IF(C33="","",ROW()-5)</f>
        <v/>
      </c>
      <c r="C33" s="37" t="n"/>
      <c r="D33" s="38" t="n"/>
      <c r="E33" s="39" t="n"/>
      <c r="F33" s="40">
        <f>IF(C33="","",IF(E33="",Bote!$C$16,E33))</f>
        <v/>
      </c>
      <c r="G33" s="39" t="n"/>
      <c r="H33" s="34" t="n"/>
      <c r="I33" s="38" t="n"/>
      <c r="J33" s="41">
        <f>IF(C33="","",MAX(0,F33-G33))</f>
        <v/>
      </c>
      <c r="K33" s="18">
        <f>IF(C33="","",IF(AND(F33&gt;0,G33&gt;=F33),"Pagado",IF(G33&gt;0,"Parcial","Pendiente")))</f>
        <v/>
      </c>
      <c r="L33" s="18">
        <f>IF(C33="","",IF(K33="Pagado","OK",IF(Bote!$C$8="","En plazo",IF(TODAY()&gt;Bote!$C$8,"Reclamar ya",IF(Bote!$C$8-TODAY()&lt;=Bote!$C$10,"Recordar","En plazo")))))</f>
        <v/>
      </c>
      <c r="M33" s="34" t="n"/>
      <c r="N33" s="23">
        <f>IF(OR(C33="",M33=""),"",TODAY()-M33)</f>
        <v/>
      </c>
      <c r="O33" s="37" t="n"/>
      <c r="P33" s="42">
        <f>IF(C33="","",IF(N(J33)&gt;0,J33+ROW()/1000000,""))</f>
        <v/>
      </c>
    </row>
    <row r="34">
      <c r="B34" s="23">
        <f>IF(C34="","",ROW()-5)</f>
        <v/>
      </c>
      <c r="C34" s="37" t="n"/>
      <c r="D34" s="38" t="n"/>
      <c r="E34" s="39" t="n"/>
      <c r="F34" s="40">
        <f>IF(C34="","",IF(E34="",Bote!$C$16,E34))</f>
        <v/>
      </c>
      <c r="G34" s="39" t="n"/>
      <c r="H34" s="34" t="n"/>
      <c r="I34" s="38" t="n"/>
      <c r="J34" s="41">
        <f>IF(C34="","",MAX(0,F34-G34))</f>
        <v/>
      </c>
      <c r="K34" s="18">
        <f>IF(C34="","",IF(AND(F34&gt;0,G34&gt;=F34),"Pagado",IF(G34&gt;0,"Parcial","Pendiente")))</f>
        <v/>
      </c>
      <c r="L34" s="18">
        <f>IF(C34="","",IF(K34="Pagado","OK",IF(Bote!$C$8="","En plazo",IF(TODAY()&gt;Bote!$C$8,"Reclamar ya",IF(Bote!$C$8-TODAY()&lt;=Bote!$C$10,"Recordar","En plazo")))))</f>
        <v/>
      </c>
      <c r="M34" s="34" t="n"/>
      <c r="N34" s="23">
        <f>IF(OR(C34="",M34=""),"",TODAY()-M34)</f>
        <v/>
      </c>
      <c r="O34" s="37" t="n"/>
      <c r="P34" s="42">
        <f>IF(C34="","",IF(N(J34)&gt;0,J34+ROW()/1000000,""))</f>
        <v/>
      </c>
    </row>
    <row r="35">
      <c r="B35" s="23">
        <f>IF(C35="","",ROW()-5)</f>
        <v/>
      </c>
      <c r="C35" s="37" t="n"/>
      <c r="D35" s="38" t="n"/>
      <c r="E35" s="39" t="n"/>
      <c r="F35" s="40">
        <f>IF(C35="","",IF(E35="",Bote!$C$16,E35))</f>
        <v/>
      </c>
      <c r="G35" s="39" t="n"/>
      <c r="H35" s="34" t="n"/>
      <c r="I35" s="38" t="n"/>
      <c r="J35" s="41">
        <f>IF(C35="","",MAX(0,F35-G35))</f>
        <v/>
      </c>
      <c r="K35" s="18">
        <f>IF(C35="","",IF(AND(F35&gt;0,G35&gt;=F35),"Pagado",IF(G35&gt;0,"Parcial","Pendiente")))</f>
        <v/>
      </c>
      <c r="L35" s="18">
        <f>IF(C35="","",IF(K35="Pagado","OK",IF(Bote!$C$8="","En plazo",IF(TODAY()&gt;Bote!$C$8,"Reclamar ya",IF(Bote!$C$8-TODAY()&lt;=Bote!$C$10,"Recordar","En plazo")))))</f>
        <v/>
      </c>
      <c r="M35" s="34" t="n"/>
      <c r="N35" s="23">
        <f>IF(OR(C35="",M35=""),"",TODAY()-M35)</f>
        <v/>
      </c>
      <c r="O35" s="37" t="n"/>
      <c r="P35" s="42">
        <f>IF(C35="","",IF(N(J35)&gt;0,J35+ROW()/1000000,""))</f>
        <v/>
      </c>
    </row>
    <row r="36">
      <c r="B36" s="23">
        <f>IF(C36="","",ROW()-5)</f>
        <v/>
      </c>
      <c r="C36" s="37" t="n"/>
      <c r="D36" s="38" t="n"/>
      <c r="E36" s="39" t="n"/>
      <c r="F36" s="40">
        <f>IF(C36="","",IF(E36="",Bote!$C$16,E36))</f>
        <v/>
      </c>
      <c r="G36" s="39" t="n"/>
      <c r="H36" s="34" t="n"/>
      <c r="I36" s="38" t="n"/>
      <c r="J36" s="41">
        <f>IF(C36="","",MAX(0,F36-G36))</f>
        <v/>
      </c>
      <c r="K36" s="18">
        <f>IF(C36="","",IF(AND(F36&gt;0,G36&gt;=F36),"Pagado",IF(G36&gt;0,"Parcial","Pendiente")))</f>
        <v/>
      </c>
      <c r="L36" s="18">
        <f>IF(C36="","",IF(K36="Pagado","OK",IF(Bote!$C$8="","En plazo",IF(TODAY()&gt;Bote!$C$8,"Reclamar ya",IF(Bote!$C$8-TODAY()&lt;=Bote!$C$10,"Recordar","En plazo")))))</f>
        <v/>
      </c>
      <c r="M36" s="34" t="n"/>
      <c r="N36" s="23">
        <f>IF(OR(C36="",M36=""),"",TODAY()-M36)</f>
        <v/>
      </c>
      <c r="O36" s="37" t="n"/>
      <c r="P36" s="42">
        <f>IF(C36="","",IF(N(J36)&gt;0,J36+ROW()/1000000,""))</f>
        <v/>
      </c>
    </row>
    <row r="37">
      <c r="B37" s="23">
        <f>IF(C37="","",ROW()-5)</f>
        <v/>
      </c>
      <c r="C37" s="37" t="n"/>
      <c r="D37" s="38" t="n"/>
      <c r="E37" s="39" t="n"/>
      <c r="F37" s="40">
        <f>IF(C37="","",IF(E37="",Bote!$C$16,E37))</f>
        <v/>
      </c>
      <c r="G37" s="39" t="n"/>
      <c r="H37" s="34" t="n"/>
      <c r="I37" s="38" t="n"/>
      <c r="J37" s="41">
        <f>IF(C37="","",MAX(0,F37-G37))</f>
        <v/>
      </c>
      <c r="K37" s="18">
        <f>IF(C37="","",IF(AND(F37&gt;0,G37&gt;=F37),"Pagado",IF(G37&gt;0,"Parcial","Pendiente")))</f>
        <v/>
      </c>
      <c r="L37" s="18">
        <f>IF(C37="","",IF(K37="Pagado","OK",IF(Bote!$C$8="","En plazo",IF(TODAY()&gt;Bote!$C$8,"Reclamar ya",IF(Bote!$C$8-TODAY()&lt;=Bote!$C$10,"Recordar","En plazo")))))</f>
        <v/>
      </c>
      <c r="M37" s="34" t="n"/>
      <c r="N37" s="23">
        <f>IF(OR(C37="",M37=""),"",TODAY()-M37)</f>
        <v/>
      </c>
      <c r="O37" s="37" t="n"/>
      <c r="P37" s="42">
        <f>IF(C37="","",IF(N(J37)&gt;0,J37+ROW()/1000000,""))</f>
        <v/>
      </c>
    </row>
    <row r="38">
      <c r="B38" s="23">
        <f>IF(C38="","",ROW()-5)</f>
        <v/>
      </c>
      <c r="C38" s="37" t="n"/>
      <c r="D38" s="38" t="n"/>
      <c r="E38" s="39" t="n"/>
      <c r="F38" s="40">
        <f>IF(C38="","",IF(E38="",Bote!$C$16,E38))</f>
        <v/>
      </c>
      <c r="G38" s="39" t="n"/>
      <c r="H38" s="34" t="n"/>
      <c r="I38" s="38" t="n"/>
      <c r="J38" s="41">
        <f>IF(C38="","",MAX(0,F38-G38))</f>
        <v/>
      </c>
      <c r="K38" s="18">
        <f>IF(C38="","",IF(AND(F38&gt;0,G38&gt;=F38),"Pagado",IF(G38&gt;0,"Parcial","Pendiente")))</f>
        <v/>
      </c>
      <c r="L38" s="18">
        <f>IF(C38="","",IF(K38="Pagado","OK",IF(Bote!$C$8="","En plazo",IF(TODAY()&gt;Bote!$C$8,"Reclamar ya",IF(Bote!$C$8-TODAY()&lt;=Bote!$C$10,"Recordar","En plazo")))))</f>
        <v/>
      </c>
      <c r="M38" s="34" t="n"/>
      <c r="N38" s="23">
        <f>IF(OR(C38="",M38=""),"",TODAY()-M38)</f>
        <v/>
      </c>
      <c r="O38" s="37" t="n"/>
      <c r="P38" s="42">
        <f>IF(C38="","",IF(N(J38)&gt;0,J38+ROW()/1000000,""))</f>
        <v/>
      </c>
    </row>
    <row r="39">
      <c r="B39" s="23">
        <f>IF(C39="","",ROW()-5)</f>
        <v/>
      </c>
      <c r="C39" s="37" t="n"/>
      <c r="D39" s="38" t="n"/>
      <c r="E39" s="39" t="n"/>
      <c r="F39" s="40">
        <f>IF(C39="","",IF(E39="",Bote!$C$16,E39))</f>
        <v/>
      </c>
      <c r="G39" s="39" t="n"/>
      <c r="H39" s="34" t="n"/>
      <c r="I39" s="38" t="n"/>
      <c r="J39" s="41">
        <f>IF(C39="","",MAX(0,F39-G39))</f>
        <v/>
      </c>
      <c r="K39" s="18">
        <f>IF(C39="","",IF(AND(F39&gt;0,G39&gt;=F39),"Pagado",IF(G39&gt;0,"Parcial","Pendiente")))</f>
        <v/>
      </c>
      <c r="L39" s="18">
        <f>IF(C39="","",IF(K39="Pagado","OK",IF(Bote!$C$8="","En plazo",IF(TODAY()&gt;Bote!$C$8,"Reclamar ya",IF(Bote!$C$8-TODAY()&lt;=Bote!$C$10,"Recordar","En plazo")))))</f>
        <v/>
      </c>
      <c r="M39" s="34" t="n"/>
      <c r="N39" s="23">
        <f>IF(OR(C39="",M39=""),"",TODAY()-M39)</f>
        <v/>
      </c>
      <c r="O39" s="37" t="n"/>
      <c r="P39" s="42">
        <f>IF(C39="","",IF(N(J39)&gt;0,J39+ROW()/1000000,""))</f>
        <v/>
      </c>
    </row>
    <row r="40">
      <c r="B40" s="23">
        <f>IF(C40="","",ROW()-5)</f>
        <v/>
      </c>
      <c r="C40" s="37" t="n"/>
      <c r="D40" s="38" t="n"/>
      <c r="E40" s="39" t="n"/>
      <c r="F40" s="40">
        <f>IF(C40="","",IF(E40="",Bote!$C$16,E40))</f>
        <v/>
      </c>
      <c r="G40" s="39" t="n"/>
      <c r="H40" s="34" t="n"/>
      <c r="I40" s="38" t="n"/>
      <c r="J40" s="41">
        <f>IF(C40="","",MAX(0,F40-G40))</f>
        <v/>
      </c>
      <c r="K40" s="18">
        <f>IF(C40="","",IF(AND(F40&gt;0,G40&gt;=F40),"Pagado",IF(G40&gt;0,"Parcial","Pendiente")))</f>
        <v/>
      </c>
      <c r="L40" s="18">
        <f>IF(C40="","",IF(K40="Pagado","OK",IF(Bote!$C$8="","En plazo",IF(TODAY()&gt;Bote!$C$8,"Reclamar ya",IF(Bote!$C$8-TODAY()&lt;=Bote!$C$10,"Recordar","En plazo")))))</f>
        <v/>
      </c>
      <c r="M40" s="34" t="n"/>
      <c r="N40" s="23">
        <f>IF(OR(C40="",M40=""),"",TODAY()-M40)</f>
        <v/>
      </c>
      <c r="O40" s="37" t="n"/>
      <c r="P40" s="42">
        <f>IF(C40="","",IF(N(J40)&gt;0,J40+ROW()/1000000,""))</f>
        <v/>
      </c>
    </row>
    <row r="41">
      <c r="B41" s="23">
        <f>IF(C41="","",ROW()-5)</f>
        <v/>
      </c>
      <c r="C41" s="37" t="n"/>
      <c r="D41" s="38" t="n"/>
      <c r="E41" s="39" t="n"/>
      <c r="F41" s="40">
        <f>IF(C41="","",IF(E41="",Bote!$C$16,E41))</f>
        <v/>
      </c>
      <c r="G41" s="39" t="n"/>
      <c r="H41" s="34" t="n"/>
      <c r="I41" s="38" t="n"/>
      <c r="J41" s="41">
        <f>IF(C41="","",MAX(0,F41-G41))</f>
        <v/>
      </c>
      <c r="K41" s="18">
        <f>IF(C41="","",IF(AND(F41&gt;0,G41&gt;=F41),"Pagado",IF(G41&gt;0,"Parcial","Pendiente")))</f>
        <v/>
      </c>
      <c r="L41" s="18">
        <f>IF(C41="","",IF(K41="Pagado","OK",IF(Bote!$C$8="","En plazo",IF(TODAY()&gt;Bote!$C$8,"Reclamar ya",IF(Bote!$C$8-TODAY()&lt;=Bote!$C$10,"Recordar","En plazo")))))</f>
        <v/>
      </c>
      <c r="M41" s="34" t="n"/>
      <c r="N41" s="23">
        <f>IF(OR(C41="",M41=""),"",TODAY()-M41)</f>
        <v/>
      </c>
      <c r="O41" s="37" t="n"/>
      <c r="P41" s="42">
        <f>IF(C41="","",IF(N(J41)&gt;0,J41+ROW()/1000000,""))</f>
        <v/>
      </c>
    </row>
    <row r="42">
      <c r="B42" s="23">
        <f>IF(C42="","",ROW()-5)</f>
        <v/>
      </c>
      <c r="C42" s="37" t="n"/>
      <c r="D42" s="38" t="n"/>
      <c r="E42" s="39" t="n"/>
      <c r="F42" s="40">
        <f>IF(C42="","",IF(E42="",Bote!$C$16,E42))</f>
        <v/>
      </c>
      <c r="G42" s="39" t="n"/>
      <c r="H42" s="34" t="n"/>
      <c r="I42" s="38" t="n"/>
      <c r="J42" s="41">
        <f>IF(C42="","",MAX(0,F42-G42))</f>
        <v/>
      </c>
      <c r="K42" s="18">
        <f>IF(C42="","",IF(AND(F42&gt;0,G42&gt;=F42),"Pagado",IF(G42&gt;0,"Parcial","Pendiente")))</f>
        <v/>
      </c>
      <c r="L42" s="18">
        <f>IF(C42="","",IF(K42="Pagado","OK",IF(Bote!$C$8="","En plazo",IF(TODAY()&gt;Bote!$C$8,"Reclamar ya",IF(Bote!$C$8-TODAY()&lt;=Bote!$C$10,"Recordar","En plazo")))))</f>
        <v/>
      </c>
      <c r="M42" s="34" t="n"/>
      <c r="N42" s="23">
        <f>IF(OR(C42="",M42=""),"",TODAY()-M42)</f>
        <v/>
      </c>
      <c r="O42" s="37" t="n"/>
      <c r="P42" s="42">
        <f>IF(C42="","",IF(N(J42)&gt;0,J42+ROW()/1000000,""))</f>
        <v/>
      </c>
    </row>
    <row r="43">
      <c r="B43" s="23">
        <f>IF(C43="","",ROW()-5)</f>
        <v/>
      </c>
      <c r="C43" s="37" t="n"/>
      <c r="D43" s="38" t="n"/>
      <c r="E43" s="39" t="n"/>
      <c r="F43" s="40">
        <f>IF(C43="","",IF(E43="",Bote!$C$16,E43))</f>
        <v/>
      </c>
      <c r="G43" s="39" t="n"/>
      <c r="H43" s="34" t="n"/>
      <c r="I43" s="38" t="n"/>
      <c r="J43" s="41">
        <f>IF(C43="","",MAX(0,F43-G43))</f>
        <v/>
      </c>
      <c r="K43" s="18">
        <f>IF(C43="","",IF(AND(F43&gt;0,G43&gt;=F43),"Pagado",IF(G43&gt;0,"Parcial","Pendiente")))</f>
        <v/>
      </c>
      <c r="L43" s="18">
        <f>IF(C43="","",IF(K43="Pagado","OK",IF(Bote!$C$8="","En plazo",IF(TODAY()&gt;Bote!$C$8,"Reclamar ya",IF(Bote!$C$8-TODAY()&lt;=Bote!$C$10,"Recordar","En plazo")))))</f>
        <v/>
      </c>
      <c r="M43" s="34" t="n"/>
      <c r="N43" s="23">
        <f>IF(OR(C43="",M43=""),"",TODAY()-M43)</f>
        <v/>
      </c>
      <c r="O43" s="37" t="n"/>
      <c r="P43" s="42">
        <f>IF(C43="","",IF(N(J43)&gt;0,J43+ROW()/1000000,""))</f>
        <v/>
      </c>
    </row>
    <row r="44">
      <c r="B44" s="23">
        <f>IF(C44="","",ROW()-5)</f>
        <v/>
      </c>
      <c r="C44" s="37" t="n"/>
      <c r="D44" s="38" t="n"/>
      <c r="E44" s="39" t="n"/>
      <c r="F44" s="40">
        <f>IF(C44="","",IF(E44="",Bote!$C$16,E44))</f>
        <v/>
      </c>
      <c r="G44" s="39" t="n"/>
      <c r="H44" s="34" t="n"/>
      <c r="I44" s="38" t="n"/>
      <c r="J44" s="41">
        <f>IF(C44="","",MAX(0,F44-G44))</f>
        <v/>
      </c>
      <c r="K44" s="18">
        <f>IF(C44="","",IF(AND(F44&gt;0,G44&gt;=F44),"Pagado",IF(G44&gt;0,"Parcial","Pendiente")))</f>
        <v/>
      </c>
      <c r="L44" s="18">
        <f>IF(C44="","",IF(K44="Pagado","OK",IF(Bote!$C$8="","En plazo",IF(TODAY()&gt;Bote!$C$8,"Reclamar ya",IF(Bote!$C$8-TODAY()&lt;=Bote!$C$10,"Recordar","En plazo")))))</f>
        <v/>
      </c>
      <c r="M44" s="34" t="n"/>
      <c r="N44" s="23">
        <f>IF(OR(C44="",M44=""),"",TODAY()-M44)</f>
        <v/>
      </c>
      <c r="O44" s="37" t="n"/>
      <c r="P44" s="42">
        <f>IF(C44="","",IF(N(J44)&gt;0,J44+ROW()/1000000,""))</f>
        <v/>
      </c>
    </row>
    <row r="45">
      <c r="B45" s="23">
        <f>IF(C45="","",ROW()-5)</f>
        <v/>
      </c>
      <c r="C45" s="37" t="n"/>
      <c r="D45" s="38" t="n"/>
      <c r="E45" s="39" t="n"/>
      <c r="F45" s="40">
        <f>IF(C45="","",IF(E45="",Bote!$C$16,E45))</f>
        <v/>
      </c>
      <c r="G45" s="39" t="n"/>
      <c r="H45" s="34" t="n"/>
      <c r="I45" s="38" t="n"/>
      <c r="J45" s="41">
        <f>IF(C45="","",MAX(0,F45-G45))</f>
        <v/>
      </c>
      <c r="K45" s="18">
        <f>IF(C45="","",IF(AND(F45&gt;0,G45&gt;=F45),"Pagado",IF(G45&gt;0,"Parcial","Pendiente")))</f>
        <v/>
      </c>
      <c r="L45" s="18">
        <f>IF(C45="","",IF(K45="Pagado","OK",IF(Bote!$C$8="","En plazo",IF(TODAY()&gt;Bote!$C$8,"Reclamar ya",IF(Bote!$C$8-TODAY()&lt;=Bote!$C$10,"Recordar","En plazo")))))</f>
        <v/>
      </c>
      <c r="M45" s="34" t="n"/>
      <c r="N45" s="23">
        <f>IF(OR(C45="",M45=""),"",TODAY()-M45)</f>
        <v/>
      </c>
      <c r="O45" s="37" t="n"/>
      <c r="P45" s="42">
        <f>IF(C45="","",IF(N(J45)&gt;0,J45+ROW()/1000000,""))</f>
        <v/>
      </c>
    </row>
    <row r="46">
      <c r="B46" s="26" t="inlineStr"/>
      <c r="C46" s="26" t="inlineStr">
        <is>
          <t>Totales</t>
        </is>
      </c>
      <c r="D46" s="26" t="inlineStr"/>
      <c r="E46" s="28">
        <f>SUM(E6:E45)</f>
        <v/>
      </c>
      <c r="F46" s="28">
        <f>SUM(F6:F45)</f>
        <v/>
      </c>
      <c r="G46" s="28">
        <f>SUM(G6:G45)</f>
        <v/>
      </c>
      <c r="H46" s="26" t="inlineStr"/>
      <c r="I46" s="26" t="inlineStr"/>
      <c r="J46" s="28">
        <f>SUM(J6:J45)</f>
        <v/>
      </c>
      <c r="K46" s="26" t="inlineStr"/>
      <c r="L46" s="26" t="inlineStr"/>
      <c r="M46" s="26" t="inlineStr"/>
      <c r="N46" s="26" t="inlineStr"/>
      <c r="O46" s="26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K6:K45">
    <cfRule type="cellIs" priority="1" operator="equal" dxfId="1">
      <formula>"Pagado"</formula>
    </cfRule>
    <cfRule type="cellIs" priority="2" operator="equal" dxfId="2">
      <formula>"Parcial"</formula>
    </cfRule>
    <cfRule type="cellIs" priority="3" operator="equal" dxfId="0">
      <formula>"Pendiente"</formula>
    </cfRule>
  </conditionalFormatting>
  <conditionalFormatting sqref="L6:L45">
    <cfRule type="cellIs" priority="4" operator="equal" dxfId="0">
      <formula>"Reclamar ya"</formula>
    </cfRule>
    <cfRule type="cellIs" priority="5" operator="equal" dxfId="2">
      <formula>"Recordar"</formula>
    </cfRule>
  </conditionalFormatting>
  <conditionalFormatting sqref="G6:G45">
    <cfRule type="dataBar" priority="6">
      <dataBar>
        <cfvo type="num" val="0"/>
        <cfvo type="max"/>
        <color rgb="0010B981"/>
      </dataBar>
    </cfRule>
  </conditionalFormatting>
  <dataValidations count="4">
    <dataValidation sqref="D6:D45" showDropDown="0" showInputMessage="0" showErrorMessage="0" allowBlank="1" type="list">
      <formula1>=Listas!$A$2:$A$5</formula1>
    </dataValidation>
    <dataValidation sqref="I6:I45" showDropDown="0" showInputMessage="0" showErrorMessage="0" allowBlank="1" type="list">
      <formula1>=Listas!$B$2:$B$5</formula1>
    </dataValidation>
    <dataValidation sqref="E6:E45 G6:G45" showDropDown="0" showInputMessage="0" showErrorMessage="1" allowBlank="1" errorTitle="Importe" error="Escribe un importe igual o mayor que 0." type="decimal" operator="greaterThanOrEqual">
      <formula1>0</formula1>
    </dataValidation>
    <dataValidation sqref="H6:H45 M6:M45" showDropDown="0" showInputMessage="0" showErrorMessage="1" allowBlank="1" errorTitle="Fecha" error="Escribe una fecha válida, por ejemplo 15/10/2026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M3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13" customWidth="1" min="3" max="3"/>
    <col width="15" customWidth="1" min="4" max="4"/>
    <col width="12" customWidth="1" min="5" max="5"/>
    <col width="16" customWidth="1" min="6" max="6"/>
    <col width="14" customWidth="1" min="7" max="7"/>
    <col width="16" customWidth="1" min="8" max="8"/>
    <col width="26" customWidth="1" min="9" max="9"/>
    <col width="3" customWidth="1" min="10" max="10"/>
    <col width="20" customWidth="1" min="11" max="11"/>
    <col width="13" customWidth="1" min="12" max="12"/>
    <col width="17" customWidth="1" min="13" max="13"/>
  </cols>
  <sheetData>
    <row r="2" ht="34" customHeight="1">
      <c r="B2" s="1" t="inlineStr">
        <is>
          <t>Gastos del regalo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Apunta cada compra: quién la adelantó y si ya se le ha devuelto el dinero. Se comparan con lo recaudado en el Panel.</t>
        </is>
      </c>
    </row>
    <row r="5">
      <c r="B5" s="8" t="inlineStr">
        <is>
          <t>Total gastado:</t>
        </is>
      </c>
      <c r="C5" s="28">
        <f>SUM(C8:C37)</f>
        <v/>
      </c>
      <c r="D5" s="13" t="inlineStr">
        <is>
          <t>Por reembolsar:</t>
        </is>
      </c>
      <c r="E5" s="28">
        <f>SUM(H8:H37)</f>
        <v/>
      </c>
    </row>
    <row r="6">
      <c r="K6" s="15" t="inlineStr">
        <is>
          <t>POR CATEGORÍA</t>
        </is>
      </c>
    </row>
    <row r="7" ht="44" customHeight="1">
      <c r="B7" s="16" t="inlineStr">
        <is>
          <t>Concepto</t>
        </is>
      </c>
      <c r="C7" s="16" t="inlineStr">
        <is>
          <t>Importe (€)</t>
        </is>
      </c>
      <c r="D7" s="16" t="inlineStr">
        <is>
          <t>Categoría</t>
        </is>
      </c>
      <c r="E7" s="16" t="inlineStr">
        <is>
          <t>Fecha</t>
        </is>
      </c>
      <c r="F7" s="16" t="inlineStr">
        <is>
          <t>Adelantado por</t>
        </is>
      </c>
      <c r="G7" s="16" t="inlineStr">
        <is>
          <t>¿Reembolsado?</t>
        </is>
      </c>
      <c r="H7" s="16" t="inlineStr">
        <is>
          <t>Pendiente de reembolso (€)</t>
        </is>
      </c>
      <c r="I7" s="16" t="inlineStr">
        <is>
          <t>Nota</t>
        </is>
      </c>
      <c r="K7" s="16" t="inlineStr">
        <is>
          <t>Categoría</t>
        </is>
      </c>
      <c r="L7" s="16" t="inlineStr">
        <is>
          <t>Importe</t>
        </is>
      </c>
      <c r="M7" s="16" t="inlineStr">
        <is>
          <t>% del gasto</t>
        </is>
      </c>
    </row>
    <row r="8">
      <c r="B8" s="37" t="inlineStr">
        <is>
          <t>Experiencia de spa para dos (regalo principal)</t>
        </is>
      </c>
      <c r="C8" s="39" t="n">
        <v>140</v>
      </c>
      <c r="D8" s="38" t="inlineStr">
        <is>
          <t>Regalo</t>
        </is>
      </c>
      <c r="E8" s="34" t="n">
        <v>46291</v>
      </c>
      <c r="F8" s="38" t="inlineStr">
        <is>
          <t>Ana</t>
        </is>
      </c>
      <c r="G8" s="38" t="inlineStr">
        <is>
          <t>Sí</t>
        </is>
      </c>
      <c r="H8" s="41">
        <f>IF(C8="","",IF(G8="Sí",0,C8))</f>
        <v/>
      </c>
      <c r="I8" s="37" t="inlineStr">
        <is>
          <t>Cheque regalo</t>
        </is>
      </c>
      <c r="K8" s="17">
        <f>Listas!C2</f>
        <v/>
      </c>
      <c r="L8" s="24">
        <f>SUMIF($D$8:$D$37,K8,$C$8:$C$37)</f>
        <v/>
      </c>
      <c r="M8" s="25">
        <f>IF($L$15=0,0,L8/$L$15)</f>
        <v/>
      </c>
    </row>
    <row r="9">
      <c r="B9" s="37" t="inlineStr">
        <is>
          <t>Tarjeta de felicitación grande</t>
        </is>
      </c>
      <c r="C9" s="39" t="n">
        <v>4.5</v>
      </c>
      <c r="D9" s="38" t="inlineStr">
        <is>
          <t>Tarjeta</t>
        </is>
      </c>
      <c r="E9" s="34" t="n">
        <v>46291</v>
      </c>
      <c r="F9" s="38" t="inlineStr">
        <is>
          <t>Luis</t>
        </is>
      </c>
      <c r="G9" s="38" t="inlineStr">
        <is>
          <t>Sí</t>
        </is>
      </c>
      <c r="H9" s="41">
        <f>IF(C9="","",IF(G9="Sí",0,C9))</f>
        <v/>
      </c>
      <c r="I9" s="37" t="inlineStr"/>
      <c r="K9" s="17">
        <f>Listas!C3</f>
        <v/>
      </c>
      <c r="L9" s="24">
        <f>SUMIF($D$8:$D$37,K9,$C$8:$C$37)</f>
        <v/>
      </c>
      <c r="M9" s="25">
        <f>IF($L$15=0,0,L9/$L$15)</f>
        <v/>
      </c>
    </row>
    <row r="10">
      <c r="B10" s="37" t="inlineStr">
        <is>
          <t>Papel de regalo y lazo</t>
        </is>
      </c>
      <c r="C10" s="39" t="n">
        <v>6.9</v>
      </c>
      <c r="D10" s="38" t="inlineStr">
        <is>
          <t>Envoltorio</t>
        </is>
      </c>
      <c r="E10" s="34" t="n">
        <v>46292</v>
      </c>
      <c r="F10" s="38" t="inlineStr">
        <is>
          <t>Ana</t>
        </is>
      </c>
      <c r="G10" s="38" t="inlineStr">
        <is>
          <t>No</t>
        </is>
      </c>
      <c r="H10" s="41">
        <f>IF(C10="","",IF(G10="Sí",0,C10))</f>
        <v/>
      </c>
      <c r="I10" s="37" t="inlineStr"/>
      <c r="K10" s="17">
        <f>Listas!C4</f>
        <v/>
      </c>
      <c r="L10" s="24">
        <f>SUMIF($D$8:$D$37,K10,$C$8:$C$37)</f>
        <v/>
      </c>
      <c r="M10" s="25">
        <f>IF($L$15=0,0,L10/$L$15)</f>
        <v/>
      </c>
    </row>
    <row r="11">
      <c r="B11" s="37" t="inlineStr">
        <is>
          <t>Ramo de flores</t>
        </is>
      </c>
      <c r="C11" s="39" t="n">
        <v>28</v>
      </c>
      <c r="D11" s="38" t="inlineStr">
        <is>
          <t>Flores</t>
        </is>
      </c>
      <c r="E11" s="34" t="n">
        <v>46294</v>
      </c>
      <c r="F11" s="38" t="inlineStr">
        <is>
          <t>Marta</t>
        </is>
      </c>
      <c r="G11" s="38" t="inlineStr">
        <is>
          <t>No</t>
        </is>
      </c>
      <c r="H11" s="41">
        <f>IF(C11="","",IF(G11="Sí",0,C11))</f>
        <v/>
      </c>
      <c r="I11" s="37" t="inlineStr">
        <is>
          <t>Se recoge el día de entrega</t>
        </is>
      </c>
      <c r="K11" s="17">
        <f>Listas!C5</f>
        <v/>
      </c>
      <c r="L11" s="24">
        <f>SUMIF($D$8:$D$37,K11,$C$8:$C$37)</f>
        <v/>
      </c>
      <c r="M11" s="25">
        <f>IF($L$15=0,0,L11/$L$15)</f>
        <v/>
      </c>
    </row>
    <row r="12">
      <c r="B12" s="37" t="inlineStr">
        <is>
          <t>Marco con foto del equipo</t>
        </is>
      </c>
      <c r="C12" s="39" t="n">
        <v>22</v>
      </c>
      <c r="D12" s="38" t="inlineStr">
        <is>
          <t>Regalo</t>
        </is>
      </c>
      <c r="E12" s="34" t="n">
        <v>46294</v>
      </c>
      <c r="F12" s="38" t="inlineStr">
        <is>
          <t>Elena</t>
        </is>
      </c>
      <c r="G12" s="38" t="inlineStr">
        <is>
          <t>Sí</t>
        </is>
      </c>
      <c r="H12" s="41">
        <f>IF(C12="","",IF(G12="Sí",0,C12))</f>
        <v/>
      </c>
      <c r="I12" s="37" t="inlineStr"/>
      <c r="K12" s="17">
        <f>Listas!C6</f>
        <v/>
      </c>
      <c r="L12" s="24">
        <f>SUMIF($D$8:$D$37,K12,$C$8:$C$37)</f>
        <v/>
      </c>
      <c r="M12" s="25">
        <f>IF($L$15=0,0,L12/$L$15)</f>
        <v/>
      </c>
    </row>
    <row r="13">
      <c r="B13" s="37" t="inlineStr">
        <is>
          <t>Impresión de fotos</t>
        </is>
      </c>
      <c r="C13" s="39" t="n">
        <v>8.6</v>
      </c>
      <c r="D13" s="38" t="inlineStr">
        <is>
          <t>Otros</t>
        </is>
      </c>
      <c r="E13" s="34" t="n">
        <v>46295</v>
      </c>
      <c r="F13" s="38" t="inlineStr">
        <is>
          <t>Luis</t>
        </is>
      </c>
      <c r="G13" s="38" t="inlineStr">
        <is>
          <t>No</t>
        </is>
      </c>
      <c r="H13" s="41">
        <f>IF(C13="","",IF(G13="Sí",0,C13))</f>
        <v/>
      </c>
      <c r="I13" s="37" t="inlineStr"/>
      <c r="K13" s="17">
        <f>Listas!C7</f>
        <v/>
      </c>
      <c r="L13" s="24">
        <f>SUMIF($D$8:$D$37,K13,$C$8:$C$37)</f>
        <v/>
      </c>
      <c r="M13" s="25">
        <f>IF($L$15=0,0,L13/$L$15)</f>
        <v/>
      </c>
    </row>
    <row r="14">
      <c r="B14" s="37" t="inlineStr">
        <is>
          <t>Tarta para la despedida</t>
        </is>
      </c>
      <c r="C14" s="39" t="n">
        <v>35</v>
      </c>
      <c r="D14" s="38" t="inlineStr">
        <is>
          <t>Celebración</t>
        </is>
      </c>
      <c r="E14" s="34" t="n">
        <v>46296</v>
      </c>
      <c r="F14" s="38" t="inlineStr">
        <is>
          <t>Pablo</t>
        </is>
      </c>
      <c r="G14" s="38" t="inlineStr">
        <is>
          <t>No</t>
        </is>
      </c>
      <c r="H14" s="41">
        <f>IF(C14="","",IF(G14="Sí",0,C14))</f>
        <v/>
      </c>
      <c r="I14" s="37" t="inlineStr">
        <is>
          <t>Encargada para el viernes</t>
        </is>
      </c>
      <c r="K14" s="17">
        <f>Listas!C8</f>
        <v/>
      </c>
      <c r="L14" s="24">
        <f>SUMIF($D$8:$D$37,K14,$C$8:$C$37)</f>
        <v/>
      </c>
      <c r="M14" s="25">
        <f>IF($L$15=0,0,L14/$L$15)</f>
        <v/>
      </c>
    </row>
    <row r="15">
      <c r="B15" s="37" t="inlineStr">
        <is>
          <t>Globos y decoración de la sala</t>
        </is>
      </c>
      <c r="C15" s="39" t="n">
        <v>12</v>
      </c>
      <c r="D15" s="38" t="inlineStr">
        <is>
          <t>Decoración</t>
        </is>
      </c>
      <c r="E15" s="34" t="n">
        <v>46296</v>
      </c>
      <c r="F15" s="38" t="inlineStr">
        <is>
          <t>Irene</t>
        </is>
      </c>
      <c r="G15" s="38" t="inlineStr">
        <is>
          <t>No</t>
        </is>
      </c>
      <c r="H15" s="41">
        <f>IF(C15="","",IF(G15="Sí",0,C15))</f>
        <v/>
      </c>
      <c r="I15" s="37" t="inlineStr"/>
      <c r="K15" s="26" t="inlineStr">
        <is>
          <t>Total</t>
        </is>
      </c>
      <c r="L15" s="28">
        <f>SUM(L8:L14)</f>
        <v/>
      </c>
      <c r="M15" s="29">
        <f>SUM(M8:M14)</f>
        <v/>
      </c>
    </row>
    <row r="16">
      <c r="B16" s="37" t="n"/>
      <c r="C16" s="39" t="n"/>
      <c r="D16" s="38" t="n"/>
      <c r="E16" s="34" t="n"/>
      <c r="F16" s="38" t="n"/>
      <c r="G16" s="38" t="n"/>
      <c r="H16" s="41">
        <f>IF(C16="","",IF(G16="Sí",0,C16))</f>
        <v/>
      </c>
      <c r="I16" s="37" t="n"/>
    </row>
    <row r="17">
      <c r="B17" s="37" t="n"/>
      <c r="C17" s="39" t="n"/>
      <c r="D17" s="38" t="n"/>
      <c r="E17" s="34" t="n"/>
      <c r="F17" s="38" t="n"/>
      <c r="G17" s="38" t="n"/>
      <c r="H17" s="41">
        <f>IF(C17="","",IF(G17="Sí",0,C17))</f>
        <v/>
      </c>
      <c r="I17" s="37" t="n"/>
      <c r="K17" s="15" t="inlineStr">
        <is>
          <t>REEMBOLSOS POR PERSONA</t>
        </is>
      </c>
    </row>
    <row r="18" ht="30" customHeight="1">
      <c r="B18" s="37" t="n"/>
      <c r="C18" s="39" t="n"/>
      <c r="D18" s="38" t="n"/>
      <c r="E18" s="34" t="n"/>
      <c r="F18" s="38" t="n"/>
      <c r="G18" s="38" t="n"/>
      <c r="H18" s="41">
        <f>IF(C18="","",IF(G18="Sí",0,C18))</f>
        <v/>
      </c>
      <c r="I18" s="37" t="n"/>
      <c r="K18" s="16" t="inlineStr">
        <is>
          <t>Persona</t>
        </is>
      </c>
      <c r="L18" s="16" t="inlineStr">
        <is>
          <t>Adelantado</t>
        </is>
      </c>
      <c r="M18" s="16" t="inlineStr">
        <is>
          <t>Por devolverle</t>
        </is>
      </c>
    </row>
    <row r="19">
      <c r="B19" s="37" t="n"/>
      <c r="C19" s="39" t="n"/>
      <c r="D19" s="38" t="n"/>
      <c r="E19" s="34" t="n"/>
      <c r="F19" s="38" t="n"/>
      <c r="G19" s="38" t="n"/>
      <c r="H19" s="41">
        <f>IF(C19="","",IF(G19="Sí",0,C19))</f>
        <v/>
      </c>
      <c r="I19" s="37" t="n"/>
      <c r="K19" s="37" t="inlineStr">
        <is>
          <t>Ana</t>
        </is>
      </c>
      <c r="L19" s="24">
        <f>IF(K19="",0,SUMIF($F$8:$F$37,K19,$C$8:$C$37))</f>
        <v/>
      </c>
      <c r="M19" s="43">
        <f>IF(K19="",0,SUMIF($F$8:$F$37,K19,$H$8:$H$37))</f>
        <v/>
      </c>
    </row>
    <row r="20">
      <c r="B20" s="37" t="n"/>
      <c r="C20" s="39" t="n"/>
      <c r="D20" s="38" t="n"/>
      <c r="E20" s="34" t="n"/>
      <c r="F20" s="38" t="n"/>
      <c r="G20" s="38" t="n"/>
      <c r="H20" s="41">
        <f>IF(C20="","",IF(G20="Sí",0,C20))</f>
        <v/>
      </c>
      <c r="I20" s="37" t="n"/>
      <c r="K20" s="37" t="inlineStr">
        <is>
          <t>Luis</t>
        </is>
      </c>
      <c r="L20" s="24">
        <f>IF(K20="",0,SUMIF($F$8:$F$37,K20,$C$8:$C$37))</f>
        <v/>
      </c>
      <c r="M20" s="43">
        <f>IF(K20="",0,SUMIF($F$8:$F$37,K20,$H$8:$H$37))</f>
        <v/>
      </c>
    </row>
    <row r="21">
      <c r="B21" s="37" t="n"/>
      <c r="C21" s="39" t="n"/>
      <c r="D21" s="38" t="n"/>
      <c r="E21" s="34" t="n"/>
      <c r="F21" s="38" t="n"/>
      <c r="G21" s="38" t="n"/>
      <c r="H21" s="41">
        <f>IF(C21="","",IF(G21="Sí",0,C21))</f>
        <v/>
      </c>
      <c r="I21" s="37" t="n"/>
      <c r="K21" s="37" t="inlineStr">
        <is>
          <t>Marta</t>
        </is>
      </c>
      <c r="L21" s="24">
        <f>IF(K21="",0,SUMIF($F$8:$F$37,K21,$C$8:$C$37))</f>
        <v/>
      </c>
      <c r="M21" s="43">
        <f>IF(K21="",0,SUMIF($F$8:$F$37,K21,$H$8:$H$37))</f>
        <v/>
      </c>
    </row>
    <row r="22">
      <c r="B22" s="37" t="n"/>
      <c r="C22" s="39" t="n"/>
      <c r="D22" s="38" t="n"/>
      <c r="E22" s="34" t="n"/>
      <c r="F22" s="38" t="n"/>
      <c r="G22" s="38" t="n"/>
      <c r="H22" s="41">
        <f>IF(C22="","",IF(G22="Sí",0,C22))</f>
        <v/>
      </c>
      <c r="I22" s="37" t="n"/>
      <c r="K22" s="37" t="inlineStr">
        <is>
          <t>Pablo</t>
        </is>
      </c>
      <c r="L22" s="24">
        <f>IF(K22="",0,SUMIF($F$8:$F$37,K22,$C$8:$C$37))</f>
        <v/>
      </c>
      <c r="M22" s="43">
        <f>IF(K22="",0,SUMIF($F$8:$F$37,K22,$H$8:$H$37))</f>
        <v/>
      </c>
    </row>
    <row r="23">
      <c r="B23" s="37" t="n"/>
      <c r="C23" s="39" t="n"/>
      <c r="D23" s="38" t="n"/>
      <c r="E23" s="34" t="n"/>
      <c r="F23" s="38" t="n"/>
      <c r="G23" s="38" t="n"/>
      <c r="H23" s="41">
        <f>IF(C23="","",IF(G23="Sí",0,C23))</f>
        <v/>
      </c>
      <c r="I23" s="37" t="n"/>
      <c r="K23" s="37" t="inlineStr">
        <is>
          <t>Elena</t>
        </is>
      </c>
      <c r="L23" s="24">
        <f>IF(K23="",0,SUMIF($F$8:$F$37,K23,$C$8:$C$37))</f>
        <v/>
      </c>
      <c r="M23" s="43">
        <f>IF(K23="",0,SUMIF($F$8:$F$37,K23,$H$8:$H$37))</f>
        <v/>
      </c>
    </row>
    <row r="24">
      <c r="B24" s="37" t="n"/>
      <c r="C24" s="39" t="n"/>
      <c r="D24" s="38" t="n"/>
      <c r="E24" s="34" t="n"/>
      <c r="F24" s="38" t="n"/>
      <c r="G24" s="38" t="n"/>
      <c r="H24" s="41">
        <f>IF(C24="","",IF(G24="Sí",0,C24))</f>
        <v/>
      </c>
      <c r="I24" s="37" t="n"/>
      <c r="K24" s="37" t="inlineStr">
        <is>
          <t>Irene</t>
        </is>
      </c>
      <c r="L24" s="24">
        <f>IF(K24="",0,SUMIF($F$8:$F$37,K24,$C$8:$C$37))</f>
        <v/>
      </c>
      <c r="M24" s="43">
        <f>IF(K24="",0,SUMIF($F$8:$F$37,K24,$H$8:$H$37))</f>
        <v/>
      </c>
    </row>
    <row r="25">
      <c r="B25" s="37" t="n"/>
      <c r="C25" s="39" t="n"/>
      <c r="D25" s="38" t="n"/>
      <c r="E25" s="34" t="n"/>
      <c r="F25" s="38" t="n"/>
      <c r="G25" s="38" t="n"/>
      <c r="H25" s="41">
        <f>IF(C25="","",IF(G25="Sí",0,C25))</f>
        <v/>
      </c>
      <c r="I25" s="37" t="n"/>
      <c r="K25" s="26" t="inlineStr">
        <is>
          <t>Total</t>
        </is>
      </c>
      <c r="L25" s="28">
        <f>SUM(L19:L24)</f>
        <v/>
      </c>
      <c r="M25" s="28">
        <f>SUM(M19:M24)</f>
        <v/>
      </c>
    </row>
    <row r="26">
      <c r="B26" s="37" t="n"/>
      <c r="C26" s="39" t="n"/>
      <c r="D26" s="38" t="n"/>
      <c r="E26" s="34" t="n"/>
      <c r="F26" s="38" t="n"/>
      <c r="G26" s="38" t="n"/>
      <c r="H26" s="41">
        <f>IF(C26="","",IF(G26="Sí",0,C26))</f>
        <v/>
      </c>
      <c r="I26" s="37" t="n"/>
    </row>
    <row r="27">
      <c r="B27" s="37" t="n"/>
      <c r="C27" s="39" t="n"/>
      <c r="D27" s="38" t="n"/>
      <c r="E27" s="34" t="n"/>
      <c r="F27" s="38" t="n"/>
      <c r="G27" s="38" t="n"/>
      <c r="H27" s="41">
        <f>IF(C27="","",IF(G27="Sí",0,C27))</f>
        <v/>
      </c>
      <c r="I27" s="37" t="n"/>
      <c r="K27" s="44" t="inlineStr">
        <is>
          <t>Escribe aquí los nombres de quienes adelantan dinero.</t>
        </is>
      </c>
    </row>
    <row r="28">
      <c r="B28" s="37" t="n"/>
      <c r="C28" s="39" t="n"/>
      <c r="D28" s="38" t="n"/>
      <c r="E28" s="34" t="n"/>
      <c r="F28" s="38" t="n"/>
      <c r="G28" s="38" t="n"/>
      <c r="H28" s="41">
        <f>IF(C28="","",IF(G28="Sí",0,C28))</f>
        <v/>
      </c>
      <c r="I28" s="37" t="n"/>
    </row>
    <row r="29">
      <c r="B29" s="37" t="n"/>
      <c r="C29" s="39" t="n"/>
      <c r="D29" s="38" t="n"/>
      <c r="E29" s="34" t="n"/>
      <c r="F29" s="38" t="n"/>
      <c r="G29" s="38" t="n"/>
      <c r="H29" s="41">
        <f>IF(C29="","",IF(G29="Sí",0,C29))</f>
        <v/>
      </c>
      <c r="I29" s="37" t="n"/>
    </row>
    <row r="30">
      <c r="B30" s="37" t="n"/>
      <c r="C30" s="39" t="n"/>
      <c r="D30" s="38" t="n"/>
      <c r="E30" s="34" t="n"/>
      <c r="F30" s="38" t="n"/>
      <c r="G30" s="38" t="n"/>
      <c r="H30" s="41">
        <f>IF(C30="","",IF(G30="Sí",0,C30))</f>
        <v/>
      </c>
      <c r="I30" s="37" t="n"/>
    </row>
    <row r="31">
      <c r="B31" s="37" t="n"/>
      <c r="C31" s="39" t="n"/>
      <c r="D31" s="38" t="n"/>
      <c r="E31" s="34" t="n"/>
      <c r="F31" s="38" t="n"/>
      <c r="G31" s="38" t="n"/>
      <c r="H31" s="41">
        <f>IF(C31="","",IF(G31="Sí",0,C31))</f>
        <v/>
      </c>
      <c r="I31" s="37" t="n"/>
    </row>
    <row r="32">
      <c r="B32" s="37" t="n"/>
      <c r="C32" s="39" t="n"/>
      <c r="D32" s="38" t="n"/>
      <c r="E32" s="34" t="n"/>
      <c r="F32" s="38" t="n"/>
      <c r="G32" s="38" t="n"/>
      <c r="H32" s="41">
        <f>IF(C32="","",IF(G32="Sí",0,C32))</f>
        <v/>
      </c>
      <c r="I32" s="37" t="n"/>
    </row>
    <row r="33">
      <c r="B33" s="37" t="n"/>
      <c r="C33" s="39" t="n"/>
      <c r="D33" s="38" t="n"/>
      <c r="E33" s="34" t="n"/>
      <c r="F33" s="38" t="n"/>
      <c r="G33" s="38" t="n"/>
      <c r="H33" s="41">
        <f>IF(C33="","",IF(G33="Sí",0,C33))</f>
        <v/>
      </c>
      <c r="I33" s="37" t="n"/>
    </row>
    <row r="34">
      <c r="B34" s="37" t="n"/>
      <c r="C34" s="39" t="n"/>
      <c r="D34" s="38" t="n"/>
      <c r="E34" s="34" t="n"/>
      <c r="F34" s="38" t="n"/>
      <c r="G34" s="38" t="n"/>
      <c r="H34" s="41">
        <f>IF(C34="","",IF(G34="Sí",0,C34))</f>
        <v/>
      </c>
      <c r="I34" s="37" t="n"/>
    </row>
    <row r="35">
      <c r="B35" s="37" t="n"/>
      <c r="C35" s="39" t="n"/>
      <c r="D35" s="38" t="n"/>
      <c r="E35" s="34" t="n"/>
      <c r="F35" s="38" t="n"/>
      <c r="G35" s="38" t="n"/>
      <c r="H35" s="41">
        <f>IF(C35="","",IF(G35="Sí",0,C35))</f>
        <v/>
      </c>
      <c r="I35" s="37" t="n"/>
    </row>
    <row r="36">
      <c r="B36" s="37" t="n"/>
      <c r="C36" s="39" t="n"/>
      <c r="D36" s="38" t="n"/>
      <c r="E36" s="34" t="n"/>
      <c r="F36" s="38" t="n"/>
      <c r="G36" s="38" t="n"/>
      <c r="H36" s="41">
        <f>IF(C36="","",IF(G36="Sí",0,C36))</f>
        <v/>
      </c>
      <c r="I36" s="37" t="n"/>
    </row>
    <row r="37">
      <c r="B37" s="37" t="n"/>
      <c r="C37" s="39" t="n"/>
      <c r="D37" s="38" t="n"/>
      <c r="E37" s="34" t="n"/>
      <c r="F37" s="38" t="n"/>
      <c r="G37" s="38" t="n"/>
      <c r="H37" s="41">
        <f>IF(C37="","",IF(G37="Sí",0,C37))</f>
        <v/>
      </c>
      <c r="I37" s="37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8:I37">
    <cfRule type="expression" priority="1" dxfId="2">
      <formula>AND(ISNUMBER($H8),$H8&gt;0)</formula>
    </cfRule>
  </conditionalFormatting>
  <conditionalFormatting sqref="C8:C37">
    <cfRule type="dataBar" priority="2">
      <dataBar>
        <cfvo type="num" val="0"/>
        <cfvo type="max"/>
        <color rgb="0034D399"/>
      </dataBar>
    </cfRule>
  </conditionalFormatting>
  <conditionalFormatting sqref="L8:L14">
    <cfRule type="dataBar" priority="3">
      <dataBar>
        <cfvo type="num" val="0"/>
        <cfvo type="max"/>
        <color rgb="0034D399"/>
      </dataBar>
    </cfRule>
  </conditionalFormatting>
  <conditionalFormatting sqref="M19:M24">
    <cfRule type="expression" priority="4" dxfId="2">
      <formula>M19&gt;0</formula>
    </cfRule>
  </conditionalFormatting>
  <dataValidations count="3">
    <dataValidation sqref="D8:D37" showDropDown="0" showInputMessage="0" showErrorMessage="0" allowBlank="1" type="list">
      <formula1>=Listas!$C$2:$C$8</formula1>
    </dataValidation>
    <dataValidation sqref="G8:G37" showDropDown="0" showInputMessage="0" showErrorMessage="0" allowBlank="1" type="list">
      <formula1>=Listas!$D$2:$D$3</formula1>
    </dataValidation>
    <dataValidation sqref="C8:C37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Bote para un regalo colectivo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5" t="inlineStr">
        <is>
          <t>CÓMO USARLA</t>
        </is>
      </c>
    </row>
    <row r="6" ht="30" customHeight="1">
      <c r="B6" s="45" t="inlineStr">
        <is>
          <t>1.  Empieza por la hoja «Bote»: escribe para quién es el regalo, quién organiza, el objetivo en euros (celda C7), la fecha límite (C8) y los días de aviso (C10).</t>
        </is>
      </c>
    </row>
    <row r="7" ht="30" customHeight="1">
      <c r="B7" s="45" t="inlineStr">
        <is>
          <t>2.  En «Participantes» escribe el nombre de cada persona y elige su grupo en el desplegable. Hay filas preparadas hasta 40 personas.</t>
        </is>
      </c>
    </row>
    <row r="8" ht="30" customHeight="1">
      <c r="B8" s="45" t="inlineStr">
        <is>
          <t>3.  Si dejas vacía la «Aportación acordada», la plantilla aplica la aportación sugerida (objetivo ÷ participantes, redondeada); si alguien acuerda otra cantidad, escríbela.</t>
        </is>
      </c>
    </row>
    <row r="9" ht="30" customHeight="1">
      <c r="B9" s="45" t="inlineStr">
        <is>
          <t>4.  Cuando alguien pague, apunta el importe en «Pagado», la fecha y el método. El estado cambia solo a Pagado, Parcial o Pendiente.</t>
        </is>
      </c>
    </row>
    <row r="10" ht="30" customHeight="1">
      <c r="B10" s="45" t="inlineStr">
        <is>
          <t>5.  La columna «Recordatorio» marca «Recordar» cuando faltan pocos días para el límite y «Reclamar ya» cuando el plazo ha vencido. Anota la fecha del último aviso para no insistir de más.</t>
        </is>
      </c>
    </row>
    <row r="11" ht="30" customHeight="1">
      <c r="B11" s="45" t="inlineStr">
        <is>
          <t>6.  En «Gastos» registra cada compra con su categoría, quién la adelantó y si ya se le ha devuelto el dinero; los pendientes de reembolso se resaltan en ámbar.</t>
        </is>
      </c>
    </row>
    <row r="12" ht="30" customHeight="1">
      <c r="B12" s="45" t="inlineStr">
        <is>
          <t>7.  En el «Panel» ves lo recaudado, lo que falta, el progreso, el saldo disponible, quién debe y el reparto por grupo. Copia el mensaje listo para el grupo desde ahí.</t>
        </is>
      </c>
    </row>
    <row r="13" ht="30" customHeight="1">
      <c r="B13" s="45" t="inlineStr">
        <is>
          <t>8.  Si sobra dinero, decidid entre todos qué hacer con el saldo (devolverlo a prorrata o destinarlo a otro detalle) y anotadlo en una nota.</t>
        </is>
      </c>
    </row>
    <row r="15">
      <c r="B15" s="15" t="inlineStr">
        <is>
          <t>CONSEJOS</t>
        </is>
      </c>
    </row>
    <row r="16" ht="30" customHeight="1">
      <c r="B16" s="45" t="inlineStr">
        <is>
          <t>•  Los nombres, importes y fechas de ejemplo son ficticios; bórralos y escribe los tuyos. Todo se calcula con la fecha de hoy (TODAY), así que los avisos se actualizan solos.</t>
        </is>
      </c>
    </row>
    <row r="17" ht="30" customHeight="1">
      <c r="B17" s="45" t="inlineStr">
        <is>
          <t>•  Los grupos y las categorías se pueden cambiar en la hoja oculta «Listas» (clic derecho sobre una pestaña &gt; Mostrar). No cambies el número de elementos.</t>
        </is>
      </c>
    </row>
    <row r="18" ht="30" customHeight="1">
      <c r="B18" s="45" t="inlineStr">
        <is>
          <t>•  La hoja «Participantes» tiene una columna P oculta que usa el Panel para ordenar las deudas: no la borres.</t>
        </is>
      </c>
    </row>
    <row r="19" ht="30" customHeight="1">
      <c r="B19" s="45" t="inlineStr">
        <is>
          <t>•  Las hojas están protegidas sin contraseña para no romper fórmulas: Revisar &gt; Desproteger hoja si quieres modificar algo.</t>
        </is>
      </c>
    </row>
    <row r="20" ht="30" customHeight="1">
      <c r="B20" s="45" t="inlineStr">
        <is>
          <t>•  En «Gastos» puedes escribir hasta 6 nombres de quienes adelantan dinero para ver cuánto hay que devolverles a cada uno.</t>
        </is>
      </c>
    </row>
    <row r="22">
      <c r="B22" s="12" t="inlineStr">
        <is>
          <t>Las celdas con fondo crema y texto azul son para rellenar; las verdes se calculan solas.</t>
        </is>
      </c>
    </row>
    <row r="24" ht="44" customHeight="1">
      <c r="B24" s="46" t="inlineStr">
        <is>
          <t>Aviso: esta plantilla solo sirve para llevar la cuenta de una colecta entre personas de confianza. No gestiona pagos ni custodia dinero, y no sustituye ningún asesoramiento financiero. Los importes son los que tú introduces.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Grupo</t>
        </is>
      </c>
      <c r="B1" t="inlineStr">
        <is>
          <t>Método</t>
        </is>
      </c>
      <c r="C1" t="inlineStr">
        <is>
          <t>Categoría</t>
        </is>
      </c>
      <c r="D1" t="inlineStr">
        <is>
          <t>Reembolsado</t>
        </is>
      </c>
    </row>
    <row r="2">
      <c r="A2" t="inlineStr">
        <is>
          <t>Equipo</t>
        </is>
      </c>
      <c r="B2" t="inlineStr">
        <is>
          <t>Bizum</t>
        </is>
      </c>
      <c r="C2" t="inlineStr">
        <is>
          <t>Regalo</t>
        </is>
      </c>
      <c r="D2" t="inlineStr">
        <is>
          <t>Sí</t>
        </is>
      </c>
    </row>
    <row r="3">
      <c r="A3" t="inlineStr">
        <is>
          <t>Dirección</t>
        </is>
      </c>
      <c r="B3" t="inlineStr">
        <is>
          <t>Efectivo</t>
        </is>
      </c>
      <c r="C3" t="inlineStr">
        <is>
          <t>Tarjeta</t>
        </is>
      </c>
      <c r="D3" t="inlineStr">
        <is>
          <t>No</t>
        </is>
      </c>
    </row>
    <row r="4">
      <c r="A4" t="inlineStr">
        <is>
          <t>Otros departamentos</t>
        </is>
      </c>
      <c r="B4" t="inlineStr">
        <is>
          <t>Transferencia</t>
        </is>
      </c>
      <c r="C4" t="inlineStr">
        <is>
          <t>Envoltorio</t>
        </is>
      </c>
    </row>
    <row r="5">
      <c r="A5" t="inlineStr">
        <is>
          <t>Amigos y familia</t>
        </is>
      </c>
      <c r="B5" t="inlineStr">
        <is>
          <t>Otro</t>
        </is>
      </c>
      <c r="C5" t="inlineStr">
        <is>
          <t>Flores</t>
        </is>
      </c>
    </row>
    <row r="6">
      <c r="C6" t="inlineStr">
        <is>
          <t>Decoración</t>
        </is>
      </c>
    </row>
    <row r="7">
      <c r="C7" t="inlineStr">
        <is>
          <t>Celebración</t>
        </is>
      </c>
    </row>
    <row r="8">
      <c r="C8" t="inlineStr">
        <is>
          <t>Otros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2026-10-02T13:10:47Z</dcterms:created>
  <dcterms:modified xmlns:dcterms="http://purl.org/dc/terms/" xmlns:xsi="http://www.w3.org/2001/XMLSchema-instance" xsi:type="dcterms:W3CDTF">2026-10-02T13:10:47Z</dcterms:modified>
</cp:coreProperties>
</file>