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nel" sheetId="1" state="visible" r:id="rId1"/>
    <sheet xmlns:r="http://schemas.openxmlformats.org/officeDocument/2006/relationships" name="Productos" sheetId="2" state="visible" r:id="rId2"/>
    <sheet xmlns:r="http://schemas.openxmlformats.org/officeDocument/2006/relationships" name="Evento" sheetId="3" state="visible" r:id="rId3"/>
    <sheet xmlns:r="http://schemas.openxmlformats.org/officeDocument/2006/relationships" name="Instruccione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/mm/yyyy"/>
    <numFmt numFmtId="166" formatCode="0.0"/>
    <numFmt numFmtId="167" formatCode="0.0%"/>
    <numFmt numFmtId="168" formatCode="#,##0.00 &quot;€&quot;"/>
    <numFmt numFmtId="169" formatCode="0.000000"/>
  </numFmts>
  <fonts count="15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i val="1"/>
      <color rgb="006B7280"/>
      <sz val="10"/>
    </font>
    <font>
      <name val="Arial"/>
      <color rgb="00111827"/>
      <sz val="10"/>
    </font>
    <font>
      <name val="Arial"/>
      <color rgb="001D4ED8"/>
      <sz val="10"/>
    </font>
    <font>
      <name val="Arial"/>
      <b val="1"/>
      <color rgb="0012744A"/>
      <sz val="11"/>
    </font>
    <font>
      <name val="Arial"/>
      <b val="1"/>
      <color rgb="00047857"/>
      <sz val="10"/>
    </font>
    <font>
      <name val="Arial"/>
      <color rgb="00047857"/>
      <sz val="10"/>
    </font>
    <font>
      <name val="Arial"/>
      <b val="1"/>
      <color rgb="00FFFFFF"/>
      <sz val="10"/>
    </font>
    <font>
      <name val="Arial"/>
      <b val="1"/>
      <color rgb="00111827"/>
      <sz val="10"/>
    </font>
    <font>
      <name val="Arial"/>
      <b val="1"/>
      <color rgb="000B4A2F"/>
      <sz val="11"/>
    </font>
    <font>
      <name val="Arial"/>
      <b val="1"/>
      <color rgb="006B7280"/>
      <sz val="9"/>
    </font>
    <font>
      <name val="Arial"/>
      <b val="1"/>
      <color rgb="00047857"/>
      <sz val="16"/>
    </font>
    <font>
      <name val="Arial"/>
      <b val="1"/>
      <color rgb="00047857"/>
      <sz val="13"/>
    </font>
    <font>
      <name val="Arial"/>
      <b val="1"/>
      <color rgb="0092400E"/>
      <sz val="10"/>
    </font>
  </fonts>
  <fills count="7">
    <fill>
      <patternFill/>
    </fill>
    <fill>
      <patternFill patternType="gray125"/>
    </fill>
    <fill>
      <patternFill patternType="solid">
        <fgColor rgb="000B4A2F"/>
      </patternFill>
    </fill>
    <fill>
      <patternFill patternType="solid">
        <fgColor rgb="00FFFDF2"/>
      </patternFill>
    </fill>
    <fill>
      <patternFill patternType="solid">
        <fgColor rgb="0012744A"/>
      </patternFill>
    </fill>
    <fill>
      <patternFill patternType="solid">
        <fgColor rgb="00D1FAE5"/>
      </patternFill>
    </fill>
    <fill>
      <patternFill patternType="solid">
        <fgColor rgb="00ECFDF5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  <border>
      <left/>
      <right/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vertical="center" indent="1"/>
    </xf>
    <xf numFmtId="0" fontId="9" fillId="0" borderId="0" applyAlignment="1" pivotButton="0" quotePrefix="0" xfId="0">
      <alignment vertical="center"/>
    </xf>
    <xf numFmtId="0" fontId="6" fillId="0" borderId="1" applyAlignment="1" pivotButton="0" quotePrefix="0" xfId="0">
      <alignment vertical="center"/>
    </xf>
    <xf numFmtId="0" fontId="11" fillId="6" borderId="0" applyAlignment="1" pivotButton="0" quotePrefix="0" xfId="0">
      <alignment horizontal="center" vertical="center" wrapText="1"/>
    </xf>
    <xf numFmtId="168" fontId="12" fillId="6" borderId="0" applyAlignment="1" pivotButton="0" quotePrefix="0" xfId="0">
      <alignment horizontal="center" vertical="center"/>
    </xf>
    <xf numFmtId="0" fontId="13" fillId="6" borderId="0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0" fontId="8" fillId="4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vertical="center"/>
    </xf>
    <xf numFmtId="3" fontId="7" fillId="0" borderId="1" applyAlignment="1" pivotButton="0" quotePrefix="0" xfId="0">
      <alignment horizontal="center" vertical="center"/>
    </xf>
    <xf numFmtId="168" fontId="7" fillId="0" borderId="1" applyAlignment="1" pivotButton="0" quotePrefix="0" xfId="0">
      <alignment vertical="center"/>
    </xf>
    <xf numFmtId="167" fontId="7" fillId="0" borderId="1" applyAlignment="1" pivotButton="0" quotePrefix="0" xfId="0">
      <alignment vertical="center"/>
    </xf>
    <xf numFmtId="3" fontId="10" fillId="5" borderId="1" applyAlignment="1" pivotButton="0" quotePrefix="0" xfId="0">
      <alignment vertical="center"/>
    </xf>
    <xf numFmtId="168" fontId="10" fillId="5" borderId="1" applyAlignment="1" pivotButton="0" quotePrefix="0" xfId="0">
      <alignment vertical="center"/>
    </xf>
    <xf numFmtId="167" fontId="10" fillId="5" borderId="1" applyAlignment="1" pivotButton="0" quotePrefix="0" xfId="0">
      <alignment vertical="center"/>
    </xf>
    <xf numFmtId="0" fontId="0" fillId="0" borderId="5" pivotButton="0" quotePrefix="0" xfId="0"/>
    <xf numFmtId="0" fontId="0" fillId="0" borderId="4" pivotButton="0" quotePrefix="0" xfId="0"/>
    <xf numFmtId="0" fontId="7" fillId="0" borderId="1" applyAlignment="1" pivotButton="0" quotePrefix="0" xfId="0">
      <alignment vertical="center"/>
    </xf>
    <xf numFmtId="166" fontId="7" fillId="0" borderId="1" applyAlignment="1" pivotButton="0" quotePrefix="0" xfId="0">
      <alignment horizontal="center" vertical="center"/>
    </xf>
    <xf numFmtId="2" fontId="7" fillId="0" borderId="1" applyAlignment="1" pivotButton="0" quotePrefix="0" xfId="0">
      <alignment horizontal="center" vertical="center"/>
    </xf>
    <xf numFmtId="0" fontId="4" fillId="3" borderId="1" applyAlignment="1" applyProtection="1" pivotButton="0" quotePrefix="0" xfId="0">
      <alignment vertical="center"/>
      <protection locked="0" hidden="0"/>
    </xf>
    <xf numFmtId="0" fontId="4" fillId="3" borderId="1" applyAlignment="1" applyProtection="1" pivotButton="0" quotePrefix="0" xfId="0">
      <alignment horizontal="center" vertical="center"/>
      <protection locked="0" hidden="0"/>
    </xf>
    <xf numFmtId="2" fontId="4" fillId="3" borderId="1" applyAlignment="1" applyProtection="1" pivotButton="0" quotePrefix="0" xfId="0">
      <alignment horizontal="center" vertical="center"/>
      <protection locked="0" hidden="0"/>
    </xf>
    <xf numFmtId="9" fontId="4" fillId="3" borderId="1" applyAlignment="1" applyProtection="1" pivotButton="0" quotePrefix="0" xfId="0">
      <alignment horizontal="center" vertical="center"/>
      <protection locked="0" hidden="0"/>
    </xf>
    <xf numFmtId="3" fontId="4" fillId="3" borderId="1" applyAlignment="1" applyProtection="1" pivotButton="0" quotePrefix="0" xfId="0">
      <alignment horizontal="center" vertical="center"/>
      <protection locked="0" hidden="0"/>
    </xf>
    <xf numFmtId="168" fontId="4" fillId="3" borderId="1" applyAlignment="1" applyProtection="1" pivotButton="0" quotePrefix="0" xfId="0">
      <alignment vertical="center"/>
      <protection locked="0" hidden="0"/>
    </xf>
    <xf numFmtId="166" fontId="7" fillId="0" borderId="1" applyAlignment="1" pivotButton="0" quotePrefix="0" xfId="0">
      <alignment vertical="center"/>
    </xf>
    <xf numFmtId="3" fontId="6" fillId="0" borderId="1" applyAlignment="1" pivotButton="0" quotePrefix="0" xfId="0">
      <alignment horizontal="center" vertical="center"/>
    </xf>
    <xf numFmtId="168" fontId="6" fillId="0" borderId="1" applyAlignment="1" pivotButton="0" quotePrefix="0" xfId="0">
      <alignment vertical="center"/>
    </xf>
    <xf numFmtId="169" fontId="7" fillId="0" borderId="1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0" fillId="0" borderId="4" applyProtection="1" pivotButton="0" quotePrefix="0" xfId="0">
      <protection locked="0" hidden="0"/>
    </xf>
    <xf numFmtId="165" fontId="4" fillId="3" borderId="1" applyAlignment="1" applyProtection="1" pivotButton="0" quotePrefix="0" xfId="0">
      <alignment horizontal="center" vertical="center"/>
      <protection locked="0" hidden="0"/>
    </xf>
    <xf numFmtId="0" fontId="2" fillId="0" borderId="0" applyAlignment="1" pivotButton="0" quotePrefix="0" xfId="0">
      <alignment vertical="center" wrapText="1"/>
    </xf>
    <xf numFmtId="166" fontId="4" fillId="3" borderId="1" applyAlignment="1" applyProtection="1" pivotButton="0" quotePrefix="0" xfId="0">
      <alignment horizontal="center" vertical="center"/>
      <protection locked="0" hidden="0"/>
    </xf>
    <xf numFmtId="167" fontId="4" fillId="3" borderId="1" applyAlignment="1" applyProtection="1" pivotButton="0" quotePrefix="0" xfId="0">
      <alignment horizontal="center" vertical="center"/>
      <protection locked="0" hidden="0"/>
    </xf>
    <xf numFmtId="166" fontId="6" fillId="0" borderId="1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 wrapText="1"/>
    </xf>
    <xf numFmtId="0" fontId="14" fillId="0" borderId="0" applyAlignment="1" pivotButton="0" quotePrefix="0" xfId="0">
      <alignment vertical="center" wrapText="1"/>
    </xf>
  </cellXfs>
  <cellStyles count="1">
    <cellStyle name="Normal" xfId="0" builtinId="0" hidden="0"/>
  </cellStyles>
  <dxfs count="3">
    <dxf>
      <font>
        <b val="1"/>
        <color rgb="00B91C1C"/>
      </font>
      <fill>
        <patternFill patternType="solid">
          <fgColor rgb="00FEE2E2"/>
          <bgColor rgb="00FEE2E2"/>
        </patternFill>
      </fill>
    </dxf>
    <dxf>
      <fill>
        <patternFill patternType="solid">
          <fgColor rgb="00F4FAF6"/>
          <bgColor rgb="00F4FAF6"/>
        </patternFill>
      </fill>
    </dxf>
    <dxf>
      <font>
        <b val="1"/>
        <color rgb="0092400E"/>
      </font>
      <fill>
        <patternFill patternType="solid">
          <fgColor rgb="00FEF3C7"/>
          <b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Reparto del coste por categoría</a:t>
            </a:r>
          </a:p>
        </rich>
      </tx>
    </title>
    <plotArea>
      <pieChart>
        <varyColors val="1"/>
        <ser>
          <idx val="0"/>
          <order val="0"/>
          <tx>
            <strRef>
              <f>'Panel'!D14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'Panel'!$B$15:$B$18</f>
            </numRef>
          </cat>
          <val>
            <numRef>
              <f>'Panel'!$D$15:$D$18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5 productos por coste (€)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'Panel'!D22</f>
            </strRef>
          </tx>
          <spPr>
            <a:ln xmlns:a="http://schemas.openxmlformats.org/drawingml/2006/main">
              <a:prstDash val="solid"/>
            </a:ln>
          </spPr>
          <cat>
            <numRef>
              <f>'Panel'!$B$23:$B$27</f>
            </numRef>
          </cat>
          <val>
            <numRef>
              <f>'Panel'!$D$23:$D$27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/Relationships>
</file>

<file path=xl/drawings/drawing1.xml><?xml version="1.0" encoding="utf-8"?>
<wsDr xmlns="http://schemas.openxmlformats.org/drawingml/2006/spreadsheetDrawing">
  <oneCellAnchor>
    <from>
      <col>9</col>
      <colOff>0</colOff>
      <row>4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22</row>
      <rowOff>0</rowOff>
    </from>
    <ext cx="612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047857"/>
    <outlinePr summaryBelow="1" summaryRight="1"/>
    <pageSetUpPr fitToPage="1"/>
  </sheetPr>
  <dimension ref="B2:H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14" customWidth="1" min="3" max="3"/>
    <col width="14" customWidth="1" min="4" max="4"/>
    <col width="15" customWidth="1" min="5" max="5"/>
    <col width="15" customWidth="1" min="6" max="6"/>
    <col width="15" customWidth="1" min="7" max="7"/>
    <col width="15" customWidth="1" min="8" max="8"/>
  </cols>
  <sheetData>
    <row r="2" ht="34" customHeight="1">
      <c r="B2" s="1" t="inlineStr">
        <is>
          <t>Panel de catering: coste del evento</t>
        </is>
      </c>
      <c r="C2" s="2" t="n"/>
      <c r="D2" s="2" t="n"/>
      <c r="E2" s="2" t="n"/>
      <c r="F2" s="2" t="n"/>
      <c r="G2" s="2" t="n"/>
      <c r="H2" s="2" t="n"/>
    </row>
    <row r="3">
      <c r="B3" s="3" t="inlineStr">
        <is>
          <t>Cuánto cuesta dar de comer y beber a tus invitados y en qué se va el dinero</t>
        </is>
      </c>
    </row>
    <row r="5">
      <c r="B5" s="4" t="inlineStr">
        <is>
          <t>Evento</t>
        </is>
      </c>
      <c r="C5" s="5">
        <f>Evento!C5&amp;" · "&amp;Evento!C6&amp;" · "&amp;Evento!C16&amp;" invitados"</f>
        <v/>
      </c>
    </row>
    <row r="7" ht="22" customHeight="1">
      <c r="B7" s="6" t="inlineStr">
        <is>
          <t>COSTE TOTAL</t>
        </is>
      </c>
      <c r="D7" s="6" t="inlineStr">
        <is>
          <t>COSTE POR INVITADO</t>
        </is>
      </c>
      <c r="F7" s="6" t="inlineStr">
        <is>
          <t>PRESUPUESTO</t>
        </is>
      </c>
    </row>
    <row r="8" ht="32" customHeight="1">
      <c r="B8" s="7">
        <f>Productos!M47</f>
        <v/>
      </c>
      <c r="D8" s="7">
        <f>IF(Evento!C16&gt;0,Productos!M47/Evento!C16,0)</f>
        <v/>
      </c>
      <c r="F8" s="7">
        <f>Evento!C13</f>
        <v/>
      </c>
    </row>
    <row r="10" ht="22" customHeight="1">
      <c r="B10" s="6" t="inlineStr">
        <is>
          <t>MARGEN SOBRE PRESUPUESTO</t>
        </is>
      </c>
      <c r="D10" s="6" t="inlineStr">
        <is>
          <t>PRESUPUESTO POR INVITADO</t>
        </is>
      </c>
      <c r="F10" s="6" t="inlineStr">
        <is>
          <t>ESTADO</t>
        </is>
      </c>
    </row>
    <row r="11" ht="32" customHeight="1">
      <c r="B11" s="7">
        <f>F8-B8</f>
        <v/>
      </c>
      <c r="D11" s="7">
        <f>IF(Evento!C16&gt;0,Evento!C13/Evento!C16,0)</f>
        <v/>
      </c>
      <c r="F11" s="8">
        <f>IF(B8=0,"Sin datos",IF(B8&lt;=F8,"Dentro de presupuesto","Te pasas"))</f>
        <v/>
      </c>
    </row>
    <row r="13">
      <c r="B13" s="9" t="inlineStr">
        <is>
          <t>POR CATEGORÍA</t>
        </is>
      </c>
    </row>
    <row r="14" ht="26" customHeight="1">
      <c r="B14" s="10" t="inlineStr">
        <is>
          <t>Categoría</t>
        </is>
      </c>
      <c r="C14" s="10" t="inlineStr">
        <is>
          <t>Productos</t>
        </is>
      </c>
      <c r="D14" s="10" t="inlineStr">
        <is>
          <t>Coste</t>
        </is>
      </c>
      <c r="E14" s="10" t="inlineStr">
        <is>
          <t>% del total</t>
        </is>
      </c>
      <c r="F14" s="10" t="inlineStr">
        <is>
          <t>Por invitado</t>
        </is>
      </c>
    </row>
    <row r="15">
      <c r="B15" s="11" t="inlineStr">
        <is>
          <t>Bebida</t>
        </is>
      </c>
      <c r="C15" s="12">
        <f>COUNTIF(Productos!$C$7:$C$46,B15)</f>
        <v/>
      </c>
      <c r="D15" s="13">
        <f>SUMIF(Productos!$C$7:$C$46,B15,Productos!$M$7:$M$46)</f>
        <v/>
      </c>
      <c r="E15" s="14">
        <f>IF($D$19&gt;0,D15/$D$19,0)</f>
        <v/>
      </c>
      <c r="F15" s="13">
        <f>IF(Evento!$C$16&gt;0,D15/Evento!$C$16,0)</f>
        <v/>
      </c>
    </row>
    <row r="16">
      <c r="B16" s="11" t="inlineStr">
        <is>
          <t>Comida</t>
        </is>
      </c>
      <c r="C16" s="12">
        <f>COUNTIF(Productos!$C$7:$C$46,B16)</f>
        <v/>
      </c>
      <c r="D16" s="13">
        <f>SUMIF(Productos!$C$7:$C$46,B16,Productos!$M$7:$M$46)</f>
        <v/>
      </c>
      <c r="E16" s="14">
        <f>IF($D$19&gt;0,D16/$D$19,0)</f>
        <v/>
      </c>
      <c r="F16" s="13">
        <f>IF(Evento!$C$16&gt;0,D16/Evento!$C$16,0)</f>
        <v/>
      </c>
    </row>
    <row r="17">
      <c r="B17" s="11" t="inlineStr">
        <is>
          <t>Postre</t>
        </is>
      </c>
      <c r="C17" s="12">
        <f>COUNTIF(Productos!$C$7:$C$46,B17)</f>
        <v/>
      </c>
      <c r="D17" s="13">
        <f>SUMIF(Productos!$C$7:$C$46,B17,Productos!$M$7:$M$46)</f>
        <v/>
      </c>
      <c r="E17" s="14">
        <f>IF($D$19&gt;0,D17/$D$19,0)</f>
        <v/>
      </c>
      <c r="F17" s="13">
        <f>IF(Evento!$C$16&gt;0,D17/Evento!$C$16,0)</f>
        <v/>
      </c>
    </row>
    <row r="18">
      <c r="B18" s="11" t="inlineStr">
        <is>
          <t>Otros</t>
        </is>
      </c>
      <c r="C18" s="12">
        <f>COUNTIF(Productos!$C$7:$C$46,B18)</f>
        <v/>
      </c>
      <c r="D18" s="13">
        <f>SUMIF(Productos!$C$7:$C$46,B18,Productos!$M$7:$M$46)</f>
        <v/>
      </c>
      <c r="E18" s="14">
        <f>IF($D$19&gt;0,D18/$D$19,0)</f>
        <v/>
      </c>
      <c r="F18" s="13">
        <f>IF(Evento!$C$16&gt;0,D18/Evento!$C$16,0)</f>
        <v/>
      </c>
    </row>
    <row r="19">
      <c r="B19" s="4" t="inlineStr">
        <is>
          <t>TOTAL</t>
        </is>
      </c>
      <c r="C19" s="15">
        <f>SUM(C15:C18)</f>
        <v/>
      </c>
      <c r="D19" s="16">
        <f>SUM(D15:D18)</f>
        <v/>
      </c>
      <c r="E19" s="17">
        <f>SUM(E15:E18)</f>
        <v/>
      </c>
      <c r="F19" s="16">
        <f>SUM(F15:F18)</f>
        <v/>
      </c>
    </row>
    <row r="21">
      <c r="B21" s="9" t="inlineStr">
        <is>
          <t>LOS 5 PRODUCTOS QUE MÁS PESAN</t>
        </is>
      </c>
    </row>
    <row r="22" ht="26" customHeight="1">
      <c r="B22" s="10" t="inlineStr">
        <is>
          <t>Producto</t>
        </is>
      </c>
      <c r="C22" s="10" t="inlineStr">
        <is>
          <t>Envases</t>
        </is>
      </c>
      <c r="D22" s="10" t="inlineStr">
        <is>
          <t>Coste</t>
        </is>
      </c>
      <c r="E22" s="10" t="inlineStr">
        <is>
          <t>% del total</t>
        </is>
      </c>
      <c r="F22" s="10" t="inlineStr">
        <is>
          <t>Envase</t>
        </is>
      </c>
      <c r="G22" s="18" t="n"/>
      <c r="H22" s="19" t="n"/>
    </row>
    <row r="23">
      <c r="B23" s="20">
        <f>IFERROR(INDEX(Productos!$B$7:$B$46,MATCH(LARGE(Productos!$P$7:$P$46,1),Productos!$P$7:$P$46,0)),"")</f>
        <v/>
      </c>
      <c r="C23" s="12">
        <f>IFERROR(INDEX(Productos!$L$7:$L$46,MATCH(LARGE(Productos!$P$7:$P$46,1),Productos!$P$7:$P$46,0)),"")</f>
        <v/>
      </c>
      <c r="D23" s="13">
        <f>IFERROR(INDEX(Productos!$M$7:$M$46,MATCH(LARGE(Productos!$P$7:$P$46,1),Productos!$P$7:$P$46,0)),"")</f>
        <v/>
      </c>
      <c r="E23" s="14">
        <f>IF(OR(D23="",$D$19=0),"",D23/$D$19)</f>
        <v/>
      </c>
      <c r="F23" s="20">
        <f>IFERROR(INDEX(Productos!$I$7:$I$46,MATCH(LARGE(Productos!$P$7:$P$46,1),Productos!$P$7:$P$46,0)),"")</f>
        <v/>
      </c>
      <c r="G23" s="18" t="n"/>
      <c r="H23" s="19" t="n"/>
    </row>
    <row r="24">
      <c r="B24" s="20">
        <f>IFERROR(INDEX(Productos!$B$7:$B$46,MATCH(LARGE(Productos!$P$7:$P$46,2),Productos!$P$7:$P$46,0)),"")</f>
        <v/>
      </c>
      <c r="C24" s="12">
        <f>IFERROR(INDEX(Productos!$L$7:$L$46,MATCH(LARGE(Productos!$P$7:$P$46,2),Productos!$P$7:$P$46,0)),"")</f>
        <v/>
      </c>
      <c r="D24" s="13">
        <f>IFERROR(INDEX(Productos!$M$7:$M$46,MATCH(LARGE(Productos!$P$7:$P$46,2),Productos!$P$7:$P$46,0)),"")</f>
        <v/>
      </c>
      <c r="E24" s="14">
        <f>IF(OR(D24="",$D$19=0),"",D24/$D$19)</f>
        <v/>
      </c>
      <c r="F24" s="20">
        <f>IFERROR(INDEX(Productos!$I$7:$I$46,MATCH(LARGE(Productos!$P$7:$P$46,2),Productos!$P$7:$P$46,0)),"")</f>
        <v/>
      </c>
      <c r="G24" s="18" t="n"/>
      <c r="H24" s="19" t="n"/>
    </row>
    <row r="25">
      <c r="B25" s="20">
        <f>IFERROR(INDEX(Productos!$B$7:$B$46,MATCH(LARGE(Productos!$P$7:$P$46,3),Productos!$P$7:$P$46,0)),"")</f>
        <v/>
      </c>
      <c r="C25" s="12">
        <f>IFERROR(INDEX(Productos!$L$7:$L$46,MATCH(LARGE(Productos!$P$7:$P$46,3),Productos!$P$7:$P$46,0)),"")</f>
        <v/>
      </c>
      <c r="D25" s="13">
        <f>IFERROR(INDEX(Productos!$M$7:$M$46,MATCH(LARGE(Productos!$P$7:$P$46,3),Productos!$P$7:$P$46,0)),"")</f>
        <v/>
      </c>
      <c r="E25" s="14">
        <f>IF(OR(D25="",$D$19=0),"",D25/$D$19)</f>
        <v/>
      </c>
      <c r="F25" s="20">
        <f>IFERROR(INDEX(Productos!$I$7:$I$46,MATCH(LARGE(Productos!$P$7:$P$46,3),Productos!$P$7:$P$46,0)),"")</f>
        <v/>
      </c>
      <c r="G25" s="18" t="n"/>
      <c r="H25" s="19" t="n"/>
    </row>
    <row r="26">
      <c r="B26" s="20">
        <f>IFERROR(INDEX(Productos!$B$7:$B$46,MATCH(LARGE(Productos!$P$7:$P$46,4),Productos!$P$7:$P$46,0)),"")</f>
        <v/>
      </c>
      <c r="C26" s="12">
        <f>IFERROR(INDEX(Productos!$L$7:$L$46,MATCH(LARGE(Productos!$P$7:$P$46,4),Productos!$P$7:$P$46,0)),"")</f>
        <v/>
      </c>
      <c r="D26" s="13">
        <f>IFERROR(INDEX(Productos!$M$7:$M$46,MATCH(LARGE(Productos!$P$7:$P$46,4),Productos!$P$7:$P$46,0)),"")</f>
        <v/>
      </c>
      <c r="E26" s="14">
        <f>IF(OR(D26="",$D$19=0),"",D26/$D$19)</f>
        <v/>
      </c>
      <c r="F26" s="20">
        <f>IFERROR(INDEX(Productos!$I$7:$I$46,MATCH(LARGE(Productos!$P$7:$P$46,4),Productos!$P$7:$P$46,0)),"")</f>
        <v/>
      </c>
      <c r="G26" s="18" t="n"/>
      <c r="H26" s="19" t="n"/>
    </row>
    <row r="27">
      <c r="B27" s="20">
        <f>IFERROR(INDEX(Productos!$B$7:$B$46,MATCH(LARGE(Productos!$P$7:$P$46,5),Productos!$P$7:$P$46,0)),"")</f>
        <v/>
      </c>
      <c r="C27" s="12">
        <f>IFERROR(INDEX(Productos!$L$7:$L$46,MATCH(LARGE(Productos!$P$7:$P$46,5),Productos!$P$7:$P$46,0)),"")</f>
        <v/>
      </c>
      <c r="D27" s="13">
        <f>IFERROR(INDEX(Productos!$M$7:$M$46,MATCH(LARGE(Productos!$P$7:$P$46,5),Productos!$P$7:$P$46,0)),"")</f>
        <v/>
      </c>
      <c r="E27" s="14">
        <f>IF(OR(D27="",$D$19=0),"",D27/$D$19)</f>
        <v/>
      </c>
      <c r="F27" s="20">
        <f>IFERROR(INDEX(Productos!$I$7:$I$46,MATCH(LARGE(Productos!$P$7:$P$46,5),Productos!$P$7:$P$46,0)),"")</f>
        <v/>
      </c>
      <c r="G27" s="18" t="n"/>
      <c r="H27" s="19" t="n"/>
    </row>
    <row r="29">
      <c r="B29" s="9" t="inlineStr">
        <is>
          <t>CANTIDADES CLAVE</t>
        </is>
      </c>
    </row>
    <row r="30">
      <c r="B30" s="11" t="inlineStr">
        <is>
          <t>Raciones de comida por invitado</t>
        </is>
      </c>
      <c r="C30" s="21">
        <f>IF(Evento!C16&gt;0,SUMIFS(Productos!$K$7:$K$46,Productos!$C$7:$C$46,"Comida")/Evento!C16,0)</f>
        <v/>
      </c>
    </row>
    <row r="31">
      <c r="B31" s="11" t="inlineStr">
        <is>
          <t>Bebidas por invitado</t>
        </is>
      </c>
      <c r="C31" s="21">
        <f>IF(Evento!C16&gt;0,SUMIFS(Productos!$K$7:$K$46,Productos!$C$7:$C$46,"Bebida")/Evento!C16,0)</f>
        <v/>
      </c>
    </row>
    <row r="32">
      <c r="B32" s="11" t="inlineStr">
        <is>
          <t>Envases totales a comprar</t>
        </is>
      </c>
      <c r="C32" s="12">
        <f>SUM(Productos!L7:L46)</f>
        <v/>
      </c>
    </row>
    <row r="33">
      <c r="B33" s="11" t="inlineStr">
        <is>
          <t>Bebidas por invitado y hora</t>
        </is>
      </c>
      <c r="C33" s="22">
        <f>IF(AND(Evento!C16&gt;0,Evento!C11&gt;0),C31/Evento!C11,0)</f>
        <v/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0">
    <mergeCell ref="F11:G11"/>
    <mergeCell ref="D10:E10"/>
    <mergeCell ref="B7:C7"/>
    <mergeCell ref="F10:G10"/>
    <mergeCell ref="F26:H26"/>
    <mergeCell ref="F7:G7"/>
    <mergeCell ref="F23:H23"/>
    <mergeCell ref="F22:H22"/>
    <mergeCell ref="B11:C11"/>
    <mergeCell ref="D11:E11"/>
    <mergeCell ref="F27:H27"/>
    <mergeCell ref="B3:H3"/>
    <mergeCell ref="B8:C8"/>
    <mergeCell ref="F8:G8"/>
    <mergeCell ref="D7:E7"/>
    <mergeCell ref="B10:C10"/>
    <mergeCell ref="B2:H2"/>
    <mergeCell ref="F25:H25"/>
    <mergeCell ref="D8:E8"/>
    <mergeCell ref="F24:H24"/>
  </mergeCells>
  <conditionalFormatting sqref="F11">
    <cfRule type="cellIs" priority="1" operator="equal" dxfId="0">
      <formula>"Te pasas"</formula>
    </cfRule>
  </conditionalFormatting>
  <conditionalFormatting sqref="B11">
    <cfRule type="expression" priority="2" dxfId="0">
      <formula>$B$11&lt;0</formula>
    </cfRule>
  </conditionalFormatting>
  <conditionalFormatting sqref="D15:D18">
    <cfRule type="dataBar" priority="3">
      <dataBar>
        <cfvo type="num" val="0"/>
        <cfvo type="max"/>
        <color rgb="0010B981"/>
      </dataBar>
    </cfRule>
  </conditionalFormatting>
  <conditionalFormatting sqref="D23:D27">
    <cfRule type="dataBar" priority="4">
      <dataBar>
        <cfvo type="num" val="0"/>
        <cfvo type="max"/>
        <color rgb="0010B981"/>
      </dataBar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12744A"/>
    <outlinePr summaryBelow="1" summaryRight="1"/>
    <pageSetUpPr fitToPage="1"/>
  </sheetPr>
  <dimension ref="B2:P48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0" customWidth="1" min="2" max="2"/>
    <col width="12" customWidth="1" min="3" max="3"/>
    <col width="13" customWidth="1" min="4" max="4"/>
    <col width="10" customWidth="1" min="5" max="5"/>
    <col width="14" customWidth="1" min="6" max="6"/>
    <col width="11" customWidth="1" min="7" max="7"/>
    <col width="13" customWidth="1" min="8" max="8"/>
    <col width="24" customWidth="1" min="9" max="9"/>
    <col width="12" customWidth="1" min="10" max="10"/>
    <col width="13" customWidth="1" min="11" max="11"/>
    <col width="12" customWidth="1" min="12" max="12"/>
    <col width="13" customWidth="1" min="13" max="13"/>
    <col width="13" customWidth="1" min="14" max="14"/>
    <col width="12" customWidth="1" min="15" max="15"/>
    <col width="12" customWidth="1" min="16" max="16"/>
  </cols>
  <sheetData>
    <row r="2" ht="34" customHeight="1">
      <c r="B2" s="1" t="inlineStr">
        <is>
          <t>Comida y bebida: cantidades y compra</t>
        </is>
      </c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</row>
    <row r="3">
      <c r="B3" s="3" t="inlineStr">
        <is>
          <t>Consumo por persona, porciones por envase y precio: la plantilla calcula cuántos envases comprar</t>
        </is>
      </c>
    </row>
    <row r="6" ht="44" customHeight="1">
      <c r="B6" s="10" t="inlineStr">
        <is>
          <t>Producto</t>
        </is>
      </c>
      <c r="C6" s="10" t="inlineStr">
        <is>
          <t>Categoría</t>
        </is>
      </c>
      <c r="D6" s="10" t="inlineStr">
        <is>
          <t>Consumo por persona</t>
        </is>
      </c>
      <c r="E6" s="10" t="inlineStr">
        <is>
          <t>¿Por hora?</t>
        </is>
      </c>
      <c r="F6" s="10" t="inlineStr">
        <is>
          <t>Quién lo toma</t>
        </is>
      </c>
      <c r="G6" s="10" t="inlineStr">
        <is>
          <t>% que lo toma</t>
        </is>
      </c>
      <c r="H6" s="10" t="inlineStr">
        <is>
          <t>Porciones por envase</t>
        </is>
      </c>
      <c r="I6" s="10" t="inlineStr">
        <is>
          <t>Envase de compra</t>
        </is>
      </c>
      <c r="J6" s="10" t="inlineStr">
        <is>
          <t>Precio por envase</t>
        </is>
      </c>
      <c r="K6" s="10" t="inlineStr">
        <is>
          <t>Porciones necesarias</t>
        </is>
      </c>
      <c r="L6" s="10" t="inlineStr">
        <is>
          <t>Envases a comprar</t>
        </is>
      </c>
      <c r="M6" s="10" t="inlineStr">
        <is>
          <t>Coste</t>
        </is>
      </c>
      <c r="N6" s="10" t="inlineStr">
        <is>
          <t>Coste por invitado</t>
        </is>
      </c>
      <c r="O6" s="10" t="inlineStr">
        <is>
          <t>Sobrante (porciones)</t>
        </is>
      </c>
      <c r="P6" s="10" t="inlineStr">
        <is>
          <t>Clave ranking</t>
        </is>
      </c>
    </row>
    <row r="7">
      <c r="B7" s="23" t="inlineStr">
        <is>
          <t>Cerveza botellín 20 cl</t>
        </is>
      </c>
      <c r="C7" s="24" t="inlineStr">
        <is>
          <t>Bebida</t>
        </is>
      </c>
      <c r="D7" s="25" t="n">
        <v>0.6</v>
      </c>
      <c r="E7" s="24" t="inlineStr">
        <is>
          <t>Sí</t>
        </is>
      </c>
      <c r="F7" s="24" t="inlineStr">
        <is>
          <t>Solo adultos</t>
        </is>
      </c>
      <c r="G7" s="26" t="n">
        <v>0.7</v>
      </c>
      <c r="H7" s="27" t="n">
        <v>24</v>
      </c>
      <c r="I7" s="23" t="inlineStr">
        <is>
          <t>Caja de 24 botellines</t>
        </is>
      </c>
      <c r="J7" s="28" t="n">
        <v>21.5</v>
      </c>
      <c r="K7" s="29">
        <f>IF(B7="","",ROUND(IF(F7="Solo adultos",Evento!$C$8,Evento!$C$15)*G7*D7*IF(E7="Sí",Evento!$C$11,1)*IF(C7="Bebida",Evento!$C$17,IF(OR(C7="Comida",C7="Postre"),Evento!$C$18,1))*(1+Evento!$C$12),1))</f>
        <v/>
      </c>
      <c r="L7" s="30">
        <f>IF(K7="","",IF(H7&gt;0,ROUNDUP(K7/H7,0),0))</f>
        <v/>
      </c>
      <c r="M7" s="31">
        <f>IF(L7="","",L7*J7)</f>
        <v/>
      </c>
      <c r="N7" s="13">
        <f>IF(M7="","",IF(Evento!$C$16&gt;0,M7/Evento!$C$16,0))</f>
        <v/>
      </c>
      <c r="O7" s="29">
        <f>IF(L7="","",ROUND(L7*H7-K7,1))</f>
        <v/>
      </c>
      <c r="P7" s="32">
        <f>IF(M7="","",M7+ROW()/1000000)</f>
        <v/>
      </c>
    </row>
    <row r="8">
      <c r="B8" s="23" t="inlineStr">
        <is>
          <t>Vino tinto</t>
        </is>
      </c>
      <c r="C8" s="24" t="inlineStr">
        <is>
          <t>Bebida</t>
        </is>
      </c>
      <c r="D8" s="25" t="n">
        <v>0.35</v>
      </c>
      <c r="E8" s="24" t="inlineStr">
        <is>
          <t>Sí</t>
        </is>
      </c>
      <c r="F8" s="24" t="inlineStr">
        <is>
          <t>Solo adultos</t>
        </is>
      </c>
      <c r="G8" s="26" t="n">
        <v>0.5</v>
      </c>
      <c r="H8" s="27" t="n">
        <v>5</v>
      </c>
      <c r="I8" s="23" t="inlineStr">
        <is>
          <t>Botella 75 cl</t>
        </is>
      </c>
      <c r="J8" s="28" t="n">
        <v>7.9</v>
      </c>
      <c r="K8" s="29">
        <f>IF(B8="","",ROUND(IF(F8="Solo adultos",Evento!$C$8,Evento!$C$15)*G8*D8*IF(E8="Sí",Evento!$C$11,1)*IF(C8="Bebida",Evento!$C$17,IF(OR(C8="Comida",C8="Postre"),Evento!$C$18,1))*(1+Evento!$C$12),1))</f>
        <v/>
      </c>
      <c r="L8" s="30">
        <f>IF(K8="","",IF(H8&gt;0,ROUNDUP(K8/H8,0),0))</f>
        <v/>
      </c>
      <c r="M8" s="31">
        <f>IF(L8="","",L8*J8)</f>
        <v/>
      </c>
      <c r="N8" s="13">
        <f>IF(M8="","",IF(Evento!$C$16&gt;0,M8/Evento!$C$16,0))</f>
        <v/>
      </c>
      <c r="O8" s="29">
        <f>IF(L8="","",ROUND(L8*H8-K8,1))</f>
        <v/>
      </c>
      <c r="P8" s="32">
        <f>IF(M8="","",M8+ROW()/1000000)</f>
        <v/>
      </c>
    </row>
    <row r="9">
      <c r="B9" s="23" t="inlineStr">
        <is>
          <t>Vino blanco</t>
        </is>
      </c>
      <c r="C9" s="24" t="inlineStr">
        <is>
          <t>Bebida</t>
        </is>
      </c>
      <c r="D9" s="25" t="n">
        <v>0.3</v>
      </c>
      <c r="E9" s="24" t="inlineStr">
        <is>
          <t>Sí</t>
        </is>
      </c>
      <c r="F9" s="24" t="inlineStr">
        <is>
          <t>Solo adultos</t>
        </is>
      </c>
      <c r="G9" s="26" t="n">
        <v>0.4</v>
      </c>
      <c r="H9" s="27" t="n">
        <v>5</v>
      </c>
      <c r="I9" s="23" t="inlineStr">
        <is>
          <t>Botella 75 cl</t>
        </is>
      </c>
      <c r="J9" s="28" t="n">
        <v>6.9</v>
      </c>
      <c r="K9" s="29">
        <f>IF(B9="","",ROUND(IF(F9="Solo adultos",Evento!$C$8,Evento!$C$15)*G9*D9*IF(E9="Sí",Evento!$C$11,1)*IF(C9="Bebida",Evento!$C$17,IF(OR(C9="Comida",C9="Postre"),Evento!$C$18,1))*(1+Evento!$C$12),1))</f>
        <v/>
      </c>
      <c r="L9" s="30">
        <f>IF(K9="","",IF(H9&gt;0,ROUNDUP(K9/H9,0),0))</f>
        <v/>
      </c>
      <c r="M9" s="31">
        <f>IF(L9="","",L9*J9)</f>
        <v/>
      </c>
      <c r="N9" s="13">
        <f>IF(M9="","",IF(Evento!$C$16&gt;0,M9/Evento!$C$16,0))</f>
        <v/>
      </c>
      <c r="O9" s="29">
        <f>IF(L9="","",ROUND(L9*H9-K9,1))</f>
        <v/>
      </c>
      <c r="P9" s="32">
        <f>IF(M9="","",M9+ROW()/1000000)</f>
        <v/>
      </c>
    </row>
    <row r="10">
      <c r="B10" s="23" t="inlineStr">
        <is>
          <t>Refrescos (lata 33 cl)</t>
        </is>
      </c>
      <c r="C10" s="24" t="inlineStr">
        <is>
          <t>Bebida</t>
        </is>
      </c>
      <c r="D10" s="25" t="n">
        <v>0.5</v>
      </c>
      <c r="E10" s="24" t="inlineStr">
        <is>
          <t>Sí</t>
        </is>
      </c>
      <c r="F10" s="24" t="inlineStr">
        <is>
          <t>Todos</t>
        </is>
      </c>
      <c r="G10" s="26" t="n">
        <v>1</v>
      </c>
      <c r="H10" s="27" t="n">
        <v>24</v>
      </c>
      <c r="I10" s="23" t="inlineStr">
        <is>
          <t>Pack de 24 latas</t>
        </is>
      </c>
      <c r="J10" s="28" t="n">
        <v>11.9</v>
      </c>
      <c r="K10" s="29">
        <f>IF(B10="","",ROUND(IF(F10="Solo adultos",Evento!$C$8,Evento!$C$15)*G10*D10*IF(E10="Sí",Evento!$C$11,1)*IF(C10="Bebida",Evento!$C$17,IF(OR(C10="Comida",C10="Postre"),Evento!$C$18,1))*(1+Evento!$C$12),1))</f>
        <v/>
      </c>
      <c r="L10" s="30">
        <f>IF(K10="","",IF(H10&gt;0,ROUNDUP(K10/H10,0),0))</f>
        <v/>
      </c>
      <c r="M10" s="31">
        <f>IF(L10="","",L10*J10)</f>
        <v/>
      </c>
      <c r="N10" s="13">
        <f>IF(M10="","",IF(Evento!$C$16&gt;0,M10/Evento!$C$16,0))</f>
        <v/>
      </c>
      <c r="O10" s="29">
        <f>IF(L10="","",ROUND(L10*H10-K10,1))</f>
        <v/>
      </c>
      <c r="P10" s="32">
        <f>IF(M10="","",M10+ROW()/1000000)</f>
        <v/>
      </c>
    </row>
    <row r="11">
      <c r="B11" s="23" t="inlineStr">
        <is>
          <t>Agua (vasos de 250 ml)</t>
        </is>
      </c>
      <c r="C11" s="24" t="inlineStr">
        <is>
          <t>Bebida</t>
        </is>
      </c>
      <c r="D11" s="25" t="n">
        <v>0.4</v>
      </c>
      <c r="E11" s="24" t="inlineStr">
        <is>
          <t>Sí</t>
        </is>
      </c>
      <c r="F11" s="24" t="inlineStr">
        <is>
          <t>Todos</t>
        </is>
      </c>
      <c r="G11" s="26" t="n">
        <v>1</v>
      </c>
      <c r="H11" s="27" t="n">
        <v>6</v>
      </c>
      <c r="I11" s="23" t="inlineStr">
        <is>
          <t>Botella 1,5 l</t>
        </is>
      </c>
      <c r="J11" s="28" t="n">
        <v>0.65</v>
      </c>
      <c r="K11" s="29">
        <f>IF(B11="","",ROUND(IF(F11="Solo adultos",Evento!$C$8,Evento!$C$15)*G11*D11*IF(E11="Sí",Evento!$C$11,1)*IF(C11="Bebida",Evento!$C$17,IF(OR(C11="Comida",C11="Postre"),Evento!$C$18,1))*(1+Evento!$C$12),1))</f>
        <v/>
      </c>
      <c r="L11" s="30">
        <f>IF(K11="","",IF(H11&gt;0,ROUNDUP(K11/H11,0),0))</f>
        <v/>
      </c>
      <c r="M11" s="31">
        <f>IF(L11="","",L11*J11)</f>
        <v/>
      </c>
      <c r="N11" s="13">
        <f>IF(M11="","",IF(Evento!$C$16&gt;0,M11/Evento!$C$16,0))</f>
        <v/>
      </c>
      <c r="O11" s="29">
        <f>IF(L11="","",ROUND(L11*H11-K11,1))</f>
        <v/>
      </c>
      <c r="P11" s="32">
        <f>IF(M11="","",M11+ROW()/1000000)</f>
        <v/>
      </c>
    </row>
    <row r="12">
      <c r="B12" s="23" t="inlineStr">
        <is>
          <t>Ginebra y ron (combinados)</t>
        </is>
      </c>
      <c r="C12" s="24" t="inlineStr">
        <is>
          <t>Bebida</t>
        </is>
      </c>
      <c r="D12" s="25" t="n">
        <v>0.3</v>
      </c>
      <c r="E12" s="24" t="inlineStr">
        <is>
          <t>Sí</t>
        </is>
      </c>
      <c r="F12" s="24" t="inlineStr">
        <is>
          <t>Solo adultos</t>
        </is>
      </c>
      <c r="G12" s="26" t="n">
        <v>0.35</v>
      </c>
      <c r="H12" s="27" t="n">
        <v>14</v>
      </c>
      <c r="I12" s="23" t="inlineStr">
        <is>
          <t>Botella 70 cl</t>
        </is>
      </c>
      <c r="J12" s="28" t="n">
        <v>15.9</v>
      </c>
      <c r="K12" s="29">
        <f>IF(B12="","",ROUND(IF(F12="Solo adultos",Evento!$C$8,Evento!$C$15)*G12*D12*IF(E12="Sí",Evento!$C$11,1)*IF(C12="Bebida",Evento!$C$17,IF(OR(C12="Comida",C12="Postre"),Evento!$C$18,1))*(1+Evento!$C$12),1))</f>
        <v/>
      </c>
      <c r="L12" s="30">
        <f>IF(K12="","",IF(H12&gt;0,ROUNDUP(K12/H12,0),0))</f>
        <v/>
      </c>
      <c r="M12" s="31">
        <f>IF(L12="","",L12*J12)</f>
        <v/>
      </c>
      <c r="N12" s="13">
        <f>IF(M12="","",IF(Evento!$C$16&gt;0,M12/Evento!$C$16,0))</f>
        <v/>
      </c>
      <c r="O12" s="29">
        <f>IF(L12="","",ROUND(L12*H12-K12,1))</f>
        <v/>
      </c>
      <c r="P12" s="32">
        <f>IF(M12="","",M12+ROW()/1000000)</f>
        <v/>
      </c>
    </row>
    <row r="13">
      <c r="B13" s="23" t="inlineStr">
        <is>
          <t>Hielo</t>
        </is>
      </c>
      <c r="C13" s="24" t="inlineStr">
        <is>
          <t>Otros</t>
        </is>
      </c>
      <c r="D13" s="25" t="n">
        <v>0.1</v>
      </c>
      <c r="E13" s="24" t="inlineStr">
        <is>
          <t>No</t>
        </is>
      </c>
      <c r="F13" s="24" t="inlineStr">
        <is>
          <t>Todos</t>
        </is>
      </c>
      <c r="G13" s="26" t="n">
        <v>1</v>
      </c>
      <c r="H13" s="27" t="n">
        <v>1</v>
      </c>
      <c r="I13" s="23" t="inlineStr">
        <is>
          <t>Bolsa de 2 kg</t>
        </is>
      </c>
      <c r="J13" s="28" t="n">
        <v>2.4</v>
      </c>
      <c r="K13" s="29">
        <f>IF(B13="","",ROUND(IF(F13="Solo adultos",Evento!$C$8,Evento!$C$15)*G13*D13*IF(E13="Sí",Evento!$C$11,1)*IF(C13="Bebida",Evento!$C$17,IF(OR(C13="Comida",C13="Postre"),Evento!$C$18,1))*(1+Evento!$C$12),1))</f>
        <v/>
      </c>
      <c r="L13" s="30">
        <f>IF(K13="","",IF(H13&gt;0,ROUNDUP(K13/H13,0),0))</f>
        <v/>
      </c>
      <c r="M13" s="31">
        <f>IF(L13="","",L13*J13)</f>
        <v/>
      </c>
      <c r="N13" s="13">
        <f>IF(M13="","",IF(Evento!$C$16&gt;0,M13/Evento!$C$16,0))</f>
        <v/>
      </c>
      <c r="O13" s="29">
        <f>IF(L13="","",ROUND(L13*H13-K13,1))</f>
        <v/>
      </c>
      <c r="P13" s="32">
        <f>IF(M13="","",M13+ROW()/1000000)</f>
        <v/>
      </c>
    </row>
    <row r="14">
      <c r="B14" s="23" t="inlineStr">
        <is>
          <t>Embutido y queso (ración 60 g)</t>
        </is>
      </c>
      <c r="C14" s="24" t="inlineStr">
        <is>
          <t>Comida</t>
        </is>
      </c>
      <c r="D14" s="25" t="n">
        <v>1</v>
      </c>
      <c r="E14" s="24" t="inlineStr">
        <is>
          <t>No</t>
        </is>
      </c>
      <c r="F14" s="24" t="inlineStr">
        <is>
          <t>Todos</t>
        </is>
      </c>
      <c r="G14" s="26" t="n">
        <v>0.85</v>
      </c>
      <c r="H14" s="27" t="n">
        <v>16</v>
      </c>
      <c r="I14" s="23" t="inlineStr">
        <is>
          <t>Kilo</t>
        </is>
      </c>
      <c r="J14" s="28" t="n">
        <v>21</v>
      </c>
      <c r="K14" s="29">
        <f>IF(B14="","",ROUND(IF(F14="Solo adultos",Evento!$C$8,Evento!$C$15)*G14*D14*IF(E14="Sí",Evento!$C$11,1)*IF(C14="Bebida",Evento!$C$17,IF(OR(C14="Comida",C14="Postre"),Evento!$C$18,1))*(1+Evento!$C$12),1))</f>
        <v/>
      </c>
      <c r="L14" s="30">
        <f>IF(K14="","",IF(H14&gt;0,ROUNDUP(K14/H14,0),0))</f>
        <v/>
      </c>
      <c r="M14" s="31">
        <f>IF(L14="","",L14*J14)</f>
        <v/>
      </c>
      <c r="N14" s="13">
        <f>IF(M14="","",IF(Evento!$C$16&gt;0,M14/Evento!$C$16,0))</f>
        <v/>
      </c>
      <c r="O14" s="29">
        <f>IF(L14="","",ROUND(L14*H14-K14,1))</f>
        <v/>
      </c>
      <c r="P14" s="32">
        <f>IF(M14="","",M14+ROW()/1000000)</f>
        <v/>
      </c>
    </row>
    <row r="15">
      <c r="B15" s="23" t="inlineStr">
        <is>
          <t>Croquetas caseras</t>
        </is>
      </c>
      <c r="C15" s="24" t="inlineStr">
        <is>
          <t>Comida</t>
        </is>
      </c>
      <c r="D15" s="25" t="n">
        <v>4</v>
      </c>
      <c r="E15" s="24" t="inlineStr">
        <is>
          <t>No</t>
        </is>
      </c>
      <c r="F15" s="24" t="inlineStr">
        <is>
          <t>Todos</t>
        </is>
      </c>
      <c r="G15" s="26" t="n">
        <v>0.9</v>
      </c>
      <c r="H15" s="27" t="n">
        <v>30</v>
      </c>
      <c r="I15" s="23" t="inlineStr">
        <is>
          <t>Bolsa de 1 kg</t>
        </is>
      </c>
      <c r="J15" s="28" t="n">
        <v>9.5</v>
      </c>
      <c r="K15" s="29">
        <f>IF(B15="","",ROUND(IF(F15="Solo adultos",Evento!$C$8,Evento!$C$15)*G15*D15*IF(E15="Sí",Evento!$C$11,1)*IF(C15="Bebida",Evento!$C$17,IF(OR(C15="Comida",C15="Postre"),Evento!$C$18,1))*(1+Evento!$C$12),1))</f>
        <v/>
      </c>
      <c r="L15" s="30">
        <f>IF(K15="","",IF(H15&gt;0,ROUNDUP(K15/H15,0),0))</f>
        <v/>
      </c>
      <c r="M15" s="31">
        <f>IF(L15="","",L15*J15)</f>
        <v/>
      </c>
      <c r="N15" s="13">
        <f>IF(M15="","",IF(Evento!$C$16&gt;0,M15/Evento!$C$16,0))</f>
        <v/>
      </c>
      <c r="O15" s="29">
        <f>IF(L15="","",ROUND(L15*H15-K15,1))</f>
        <v/>
      </c>
      <c r="P15" s="32">
        <f>IF(M15="","",M15+ROW()/1000000)</f>
        <v/>
      </c>
    </row>
    <row r="16">
      <c r="B16" s="23" t="inlineStr">
        <is>
          <t>Tortilla de patata</t>
        </is>
      </c>
      <c r="C16" s="24" t="inlineStr">
        <is>
          <t>Comida</t>
        </is>
      </c>
      <c r="D16" s="25" t="n">
        <v>1</v>
      </c>
      <c r="E16" s="24" t="inlineStr">
        <is>
          <t>No</t>
        </is>
      </c>
      <c r="F16" s="24" t="inlineStr">
        <is>
          <t>Todos</t>
        </is>
      </c>
      <c r="G16" s="26" t="n">
        <v>0.6</v>
      </c>
      <c r="H16" s="27" t="n">
        <v>8</v>
      </c>
      <c r="I16" s="23" t="inlineStr">
        <is>
          <t>Tortilla entera</t>
        </is>
      </c>
      <c r="J16" s="28" t="n">
        <v>7.5</v>
      </c>
      <c r="K16" s="29">
        <f>IF(B16="","",ROUND(IF(F16="Solo adultos",Evento!$C$8,Evento!$C$15)*G16*D16*IF(E16="Sí",Evento!$C$11,1)*IF(C16="Bebida",Evento!$C$17,IF(OR(C16="Comida",C16="Postre"),Evento!$C$18,1))*(1+Evento!$C$12),1))</f>
        <v/>
      </c>
      <c r="L16" s="30">
        <f>IF(K16="","",IF(H16&gt;0,ROUNDUP(K16/H16,0),0))</f>
        <v/>
      </c>
      <c r="M16" s="31">
        <f>IF(L16="","",L16*J16)</f>
        <v/>
      </c>
      <c r="N16" s="13">
        <f>IF(M16="","",IF(Evento!$C$16&gt;0,M16/Evento!$C$16,0))</f>
        <v/>
      </c>
      <c r="O16" s="29">
        <f>IF(L16="","",ROUND(L16*H16-K16,1))</f>
        <v/>
      </c>
      <c r="P16" s="32">
        <f>IF(M16="","",M16+ROW()/1000000)</f>
        <v/>
      </c>
    </row>
    <row r="17">
      <c r="B17" s="23" t="inlineStr">
        <is>
          <t>Ensalada variada</t>
        </is>
      </c>
      <c r="C17" s="24" t="inlineStr">
        <is>
          <t>Comida</t>
        </is>
      </c>
      <c r="D17" s="25" t="n">
        <v>1</v>
      </c>
      <c r="E17" s="24" t="inlineStr">
        <is>
          <t>No</t>
        </is>
      </c>
      <c r="F17" s="24" t="inlineStr">
        <is>
          <t>Todos</t>
        </is>
      </c>
      <c r="G17" s="26" t="n">
        <v>1</v>
      </c>
      <c r="H17" s="27" t="n">
        <v>10</v>
      </c>
      <c r="I17" s="23" t="inlineStr">
        <is>
          <t>Bandeja grande</t>
        </is>
      </c>
      <c r="J17" s="28" t="n">
        <v>16</v>
      </c>
      <c r="K17" s="29">
        <f>IF(B17="","",ROUND(IF(F17="Solo adultos",Evento!$C$8,Evento!$C$15)*G17*D17*IF(E17="Sí",Evento!$C$11,1)*IF(C17="Bebida",Evento!$C$17,IF(OR(C17="Comida",C17="Postre"),Evento!$C$18,1))*(1+Evento!$C$12),1))</f>
        <v/>
      </c>
      <c r="L17" s="30">
        <f>IF(K17="","",IF(H17&gt;0,ROUNDUP(K17/H17,0),0))</f>
        <v/>
      </c>
      <c r="M17" s="31">
        <f>IF(L17="","",L17*J17)</f>
        <v/>
      </c>
      <c r="N17" s="13">
        <f>IF(M17="","",IF(Evento!$C$16&gt;0,M17/Evento!$C$16,0))</f>
        <v/>
      </c>
      <c r="O17" s="29">
        <f>IF(L17="","",ROUND(L17*H17-K17,1))</f>
        <v/>
      </c>
      <c r="P17" s="32">
        <f>IF(M17="","",M17+ROW()/1000000)</f>
        <v/>
      </c>
    </row>
    <row r="18">
      <c r="B18" s="23" t="inlineStr">
        <is>
          <t>Arroz al horno (plato principal)</t>
        </is>
      </c>
      <c r="C18" s="24" t="inlineStr">
        <is>
          <t>Comida</t>
        </is>
      </c>
      <c r="D18" s="25" t="n">
        <v>1</v>
      </c>
      <c r="E18" s="24" t="inlineStr">
        <is>
          <t>No</t>
        </is>
      </c>
      <c r="F18" s="24" t="inlineStr">
        <is>
          <t>Todos</t>
        </is>
      </c>
      <c r="G18" s="26" t="n">
        <v>1</v>
      </c>
      <c r="H18" s="27" t="n">
        <v>10</v>
      </c>
      <c r="I18" s="23" t="inlineStr">
        <is>
          <t>Bandeja de 10 raciones</t>
        </is>
      </c>
      <c r="J18" s="28" t="n">
        <v>36</v>
      </c>
      <c r="K18" s="29">
        <f>IF(B18="","",ROUND(IF(F18="Solo adultos",Evento!$C$8,Evento!$C$15)*G18*D18*IF(E18="Sí",Evento!$C$11,1)*IF(C18="Bebida",Evento!$C$17,IF(OR(C18="Comida",C18="Postre"),Evento!$C$18,1))*(1+Evento!$C$12),1))</f>
        <v/>
      </c>
      <c r="L18" s="30">
        <f>IF(K18="","",IF(H18&gt;0,ROUNDUP(K18/H18,0),0))</f>
        <v/>
      </c>
      <c r="M18" s="31">
        <f>IF(L18="","",L18*J18)</f>
        <v/>
      </c>
      <c r="N18" s="13">
        <f>IF(M18="","",IF(Evento!$C$16&gt;0,M18/Evento!$C$16,0))</f>
        <v/>
      </c>
      <c r="O18" s="29">
        <f>IF(L18="","",ROUND(L18*H18-K18,1))</f>
        <v/>
      </c>
      <c r="P18" s="32">
        <f>IF(M18="","",M18+ROW()/1000000)</f>
        <v/>
      </c>
    </row>
    <row r="19">
      <c r="B19" s="23" t="inlineStr">
        <is>
          <t>Pan</t>
        </is>
      </c>
      <c r="C19" s="24" t="inlineStr">
        <is>
          <t>Comida</t>
        </is>
      </c>
      <c r="D19" s="25" t="n">
        <v>1</v>
      </c>
      <c r="E19" s="24" t="inlineStr">
        <is>
          <t>No</t>
        </is>
      </c>
      <c r="F19" s="24" t="inlineStr">
        <is>
          <t>Todos</t>
        </is>
      </c>
      <c r="G19" s="26" t="n">
        <v>1</v>
      </c>
      <c r="H19" s="27" t="n">
        <v>6</v>
      </c>
      <c r="I19" s="23" t="inlineStr">
        <is>
          <t>Barra</t>
        </is>
      </c>
      <c r="J19" s="28" t="n">
        <v>0.95</v>
      </c>
      <c r="K19" s="29">
        <f>IF(B19="","",ROUND(IF(F19="Solo adultos",Evento!$C$8,Evento!$C$15)*G19*D19*IF(E19="Sí",Evento!$C$11,1)*IF(C19="Bebida",Evento!$C$17,IF(OR(C19="Comida",C19="Postre"),Evento!$C$18,1))*(1+Evento!$C$12),1))</f>
        <v/>
      </c>
      <c r="L19" s="30">
        <f>IF(K19="","",IF(H19&gt;0,ROUNDUP(K19/H19,0),0))</f>
        <v/>
      </c>
      <c r="M19" s="31">
        <f>IF(L19="","",L19*J19)</f>
        <v/>
      </c>
      <c r="N19" s="13">
        <f>IF(M19="","",IF(Evento!$C$16&gt;0,M19/Evento!$C$16,0))</f>
        <v/>
      </c>
      <c r="O19" s="29">
        <f>IF(L19="","",ROUND(L19*H19-K19,1))</f>
        <v/>
      </c>
      <c r="P19" s="32">
        <f>IF(M19="","",M19+ROW()/1000000)</f>
        <v/>
      </c>
    </row>
    <row r="20">
      <c r="B20" s="23" t="inlineStr">
        <is>
          <t>Tarta de cumpleaños</t>
        </is>
      </c>
      <c r="C20" s="24" t="inlineStr">
        <is>
          <t>Postre</t>
        </is>
      </c>
      <c r="D20" s="25" t="n">
        <v>1</v>
      </c>
      <c r="E20" s="24" t="inlineStr">
        <is>
          <t>No</t>
        </is>
      </c>
      <c r="F20" s="24" t="inlineStr">
        <is>
          <t>Todos</t>
        </is>
      </c>
      <c r="G20" s="26" t="n">
        <v>1</v>
      </c>
      <c r="H20" s="27" t="n">
        <v>12</v>
      </c>
      <c r="I20" s="23" t="inlineStr">
        <is>
          <t>Tarta de 12 raciones</t>
        </is>
      </c>
      <c r="J20" s="28" t="n">
        <v>34</v>
      </c>
      <c r="K20" s="29">
        <f>IF(B20="","",ROUND(IF(F20="Solo adultos",Evento!$C$8,Evento!$C$15)*G20*D20*IF(E20="Sí",Evento!$C$11,1)*IF(C20="Bebida",Evento!$C$17,IF(OR(C20="Comida",C20="Postre"),Evento!$C$18,1))*(1+Evento!$C$12),1))</f>
        <v/>
      </c>
      <c r="L20" s="30">
        <f>IF(K20="","",IF(H20&gt;0,ROUNDUP(K20/H20,0),0))</f>
        <v/>
      </c>
      <c r="M20" s="31">
        <f>IF(L20="","",L20*J20)</f>
        <v/>
      </c>
      <c r="N20" s="13">
        <f>IF(M20="","",IF(Evento!$C$16&gt;0,M20/Evento!$C$16,0))</f>
        <v/>
      </c>
      <c r="O20" s="29">
        <f>IF(L20="","",ROUND(L20*H20-K20,1))</f>
        <v/>
      </c>
      <c r="P20" s="32">
        <f>IF(M20="","",M20+ROW()/1000000)</f>
        <v/>
      </c>
    </row>
    <row r="21">
      <c r="B21" s="23" t="inlineStr">
        <is>
          <t>Café e infusiones</t>
        </is>
      </c>
      <c r="C21" s="24" t="inlineStr">
        <is>
          <t>Postre</t>
        </is>
      </c>
      <c r="D21" s="25" t="n">
        <v>1</v>
      </c>
      <c r="E21" s="24" t="inlineStr">
        <is>
          <t>No</t>
        </is>
      </c>
      <c r="F21" s="24" t="inlineStr">
        <is>
          <t>Solo adultos</t>
        </is>
      </c>
      <c r="G21" s="26" t="n">
        <v>0.6</v>
      </c>
      <c r="H21" s="27" t="n">
        <v>40</v>
      </c>
      <c r="I21" s="23" t="inlineStr">
        <is>
          <t>Pack de 40 monodosis</t>
        </is>
      </c>
      <c r="J21" s="28" t="n">
        <v>9.800000000000001</v>
      </c>
      <c r="K21" s="29">
        <f>IF(B21="","",ROUND(IF(F21="Solo adultos",Evento!$C$8,Evento!$C$15)*G21*D21*IF(E21="Sí",Evento!$C$11,1)*IF(C21="Bebida",Evento!$C$17,IF(OR(C21="Comida",C21="Postre"),Evento!$C$18,1))*(1+Evento!$C$12),1))</f>
        <v/>
      </c>
      <c r="L21" s="30">
        <f>IF(K21="","",IF(H21&gt;0,ROUNDUP(K21/H21,0),0))</f>
        <v/>
      </c>
      <c r="M21" s="31">
        <f>IF(L21="","",L21*J21)</f>
        <v/>
      </c>
      <c r="N21" s="13">
        <f>IF(M21="","",IF(Evento!$C$16&gt;0,M21/Evento!$C$16,0))</f>
        <v/>
      </c>
      <c r="O21" s="29">
        <f>IF(L21="","",ROUND(L21*H21-K21,1))</f>
        <v/>
      </c>
      <c r="P21" s="32">
        <f>IF(M21="","",M21+ROW()/1000000)</f>
        <v/>
      </c>
    </row>
    <row r="22">
      <c r="B22" s="23" t="inlineStr">
        <is>
          <t>Vasos y servilletas</t>
        </is>
      </c>
      <c r="C22" s="24" t="inlineStr">
        <is>
          <t>Otros</t>
        </is>
      </c>
      <c r="D22" s="25" t="n">
        <v>3</v>
      </c>
      <c r="E22" s="24" t="inlineStr">
        <is>
          <t>No</t>
        </is>
      </c>
      <c r="F22" s="24" t="inlineStr">
        <is>
          <t>Todos</t>
        </is>
      </c>
      <c r="G22" s="26" t="n">
        <v>1</v>
      </c>
      <c r="H22" s="27" t="n">
        <v>50</v>
      </c>
      <c r="I22" s="23" t="inlineStr">
        <is>
          <t>Pack de 50 unidades</t>
        </is>
      </c>
      <c r="J22" s="28" t="n">
        <v>3.6</v>
      </c>
      <c r="K22" s="29">
        <f>IF(B22="","",ROUND(IF(F22="Solo adultos",Evento!$C$8,Evento!$C$15)*G22*D22*IF(E22="Sí",Evento!$C$11,1)*IF(C22="Bebida",Evento!$C$17,IF(OR(C22="Comida",C22="Postre"),Evento!$C$18,1))*(1+Evento!$C$12),1))</f>
        <v/>
      </c>
      <c r="L22" s="30">
        <f>IF(K22="","",IF(H22&gt;0,ROUNDUP(K22/H22,0),0))</f>
        <v/>
      </c>
      <c r="M22" s="31">
        <f>IF(L22="","",L22*J22)</f>
        <v/>
      </c>
      <c r="N22" s="13">
        <f>IF(M22="","",IF(Evento!$C$16&gt;0,M22/Evento!$C$16,0))</f>
        <v/>
      </c>
      <c r="O22" s="29">
        <f>IF(L22="","",ROUND(L22*H22-K22,1))</f>
        <v/>
      </c>
      <c r="P22" s="32">
        <f>IF(M22="","",M22+ROW()/1000000)</f>
        <v/>
      </c>
    </row>
    <row r="23">
      <c r="B23" s="23" t="n"/>
      <c r="C23" s="24" t="n"/>
      <c r="D23" s="25" t="n"/>
      <c r="E23" s="24" t="n"/>
      <c r="F23" s="24" t="n"/>
      <c r="G23" s="26" t="n"/>
      <c r="H23" s="27" t="n"/>
      <c r="I23" s="23" t="n"/>
      <c r="J23" s="28" t="n"/>
      <c r="K23" s="29">
        <f>IF(B23="","",ROUND(IF(F23="Solo adultos",Evento!$C$8,Evento!$C$15)*G23*D23*IF(E23="Sí",Evento!$C$11,1)*IF(C23="Bebida",Evento!$C$17,IF(OR(C23="Comida",C23="Postre"),Evento!$C$18,1))*(1+Evento!$C$12),1))</f>
        <v/>
      </c>
      <c r="L23" s="30">
        <f>IF(K23="","",IF(H23&gt;0,ROUNDUP(K23/H23,0),0))</f>
        <v/>
      </c>
      <c r="M23" s="31">
        <f>IF(L23="","",L23*J23)</f>
        <v/>
      </c>
      <c r="N23" s="13">
        <f>IF(M23="","",IF(Evento!$C$16&gt;0,M23/Evento!$C$16,0))</f>
        <v/>
      </c>
      <c r="O23" s="29">
        <f>IF(L23="","",ROUND(L23*H23-K23,1))</f>
        <v/>
      </c>
      <c r="P23" s="32">
        <f>IF(M23="","",M23+ROW()/1000000)</f>
        <v/>
      </c>
    </row>
    <row r="24">
      <c r="B24" s="23" t="n"/>
      <c r="C24" s="24" t="n"/>
      <c r="D24" s="25" t="n"/>
      <c r="E24" s="24" t="n"/>
      <c r="F24" s="24" t="n"/>
      <c r="G24" s="26" t="n"/>
      <c r="H24" s="27" t="n"/>
      <c r="I24" s="23" t="n"/>
      <c r="J24" s="28" t="n"/>
      <c r="K24" s="29">
        <f>IF(B24="","",ROUND(IF(F24="Solo adultos",Evento!$C$8,Evento!$C$15)*G24*D24*IF(E24="Sí",Evento!$C$11,1)*IF(C24="Bebida",Evento!$C$17,IF(OR(C24="Comida",C24="Postre"),Evento!$C$18,1))*(1+Evento!$C$12),1))</f>
        <v/>
      </c>
      <c r="L24" s="30">
        <f>IF(K24="","",IF(H24&gt;0,ROUNDUP(K24/H24,0),0))</f>
        <v/>
      </c>
      <c r="M24" s="31">
        <f>IF(L24="","",L24*J24)</f>
        <v/>
      </c>
      <c r="N24" s="13">
        <f>IF(M24="","",IF(Evento!$C$16&gt;0,M24/Evento!$C$16,0))</f>
        <v/>
      </c>
      <c r="O24" s="29">
        <f>IF(L24="","",ROUND(L24*H24-K24,1))</f>
        <v/>
      </c>
      <c r="P24" s="32">
        <f>IF(M24="","",M24+ROW()/1000000)</f>
        <v/>
      </c>
    </row>
    <row r="25">
      <c r="B25" s="23" t="n"/>
      <c r="C25" s="24" t="n"/>
      <c r="D25" s="25" t="n"/>
      <c r="E25" s="24" t="n"/>
      <c r="F25" s="24" t="n"/>
      <c r="G25" s="26" t="n"/>
      <c r="H25" s="27" t="n"/>
      <c r="I25" s="23" t="n"/>
      <c r="J25" s="28" t="n"/>
      <c r="K25" s="29">
        <f>IF(B25="","",ROUND(IF(F25="Solo adultos",Evento!$C$8,Evento!$C$15)*G25*D25*IF(E25="Sí",Evento!$C$11,1)*IF(C25="Bebida",Evento!$C$17,IF(OR(C25="Comida",C25="Postre"),Evento!$C$18,1))*(1+Evento!$C$12),1))</f>
        <v/>
      </c>
      <c r="L25" s="30">
        <f>IF(K25="","",IF(H25&gt;0,ROUNDUP(K25/H25,0),0))</f>
        <v/>
      </c>
      <c r="M25" s="31">
        <f>IF(L25="","",L25*J25)</f>
        <v/>
      </c>
      <c r="N25" s="13">
        <f>IF(M25="","",IF(Evento!$C$16&gt;0,M25/Evento!$C$16,0))</f>
        <v/>
      </c>
      <c r="O25" s="29">
        <f>IF(L25="","",ROUND(L25*H25-K25,1))</f>
        <v/>
      </c>
      <c r="P25" s="32">
        <f>IF(M25="","",M25+ROW()/1000000)</f>
        <v/>
      </c>
    </row>
    <row r="26">
      <c r="B26" s="23" t="n"/>
      <c r="C26" s="24" t="n"/>
      <c r="D26" s="25" t="n"/>
      <c r="E26" s="24" t="n"/>
      <c r="F26" s="24" t="n"/>
      <c r="G26" s="26" t="n"/>
      <c r="H26" s="27" t="n"/>
      <c r="I26" s="23" t="n"/>
      <c r="J26" s="28" t="n"/>
      <c r="K26" s="29">
        <f>IF(B26="","",ROUND(IF(F26="Solo adultos",Evento!$C$8,Evento!$C$15)*G26*D26*IF(E26="Sí",Evento!$C$11,1)*IF(C26="Bebida",Evento!$C$17,IF(OR(C26="Comida",C26="Postre"),Evento!$C$18,1))*(1+Evento!$C$12),1))</f>
        <v/>
      </c>
      <c r="L26" s="30">
        <f>IF(K26="","",IF(H26&gt;0,ROUNDUP(K26/H26,0),0))</f>
        <v/>
      </c>
      <c r="M26" s="31">
        <f>IF(L26="","",L26*J26)</f>
        <v/>
      </c>
      <c r="N26" s="13">
        <f>IF(M26="","",IF(Evento!$C$16&gt;0,M26/Evento!$C$16,0))</f>
        <v/>
      </c>
      <c r="O26" s="29">
        <f>IF(L26="","",ROUND(L26*H26-K26,1))</f>
        <v/>
      </c>
      <c r="P26" s="32">
        <f>IF(M26="","",M26+ROW()/1000000)</f>
        <v/>
      </c>
    </row>
    <row r="27">
      <c r="B27" s="23" t="n"/>
      <c r="C27" s="24" t="n"/>
      <c r="D27" s="25" t="n"/>
      <c r="E27" s="24" t="n"/>
      <c r="F27" s="24" t="n"/>
      <c r="G27" s="26" t="n"/>
      <c r="H27" s="27" t="n"/>
      <c r="I27" s="23" t="n"/>
      <c r="J27" s="28" t="n"/>
      <c r="K27" s="29">
        <f>IF(B27="","",ROUND(IF(F27="Solo adultos",Evento!$C$8,Evento!$C$15)*G27*D27*IF(E27="Sí",Evento!$C$11,1)*IF(C27="Bebida",Evento!$C$17,IF(OR(C27="Comida",C27="Postre"),Evento!$C$18,1))*(1+Evento!$C$12),1))</f>
        <v/>
      </c>
      <c r="L27" s="30">
        <f>IF(K27="","",IF(H27&gt;0,ROUNDUP(K27/H27,0),0))</f>
        <v/>
      </c>
      <c r="M27" s="31">
        <f>IF(L27="","",L27*J27)</f>
        <v/>
      </c>
      <c r="N27" s="13">
        <f>IF(M27="","",IF(Evento!$C$16&gt;0,M27/Evento!$C$16,0))</f>
        <v/>
      </c>
      <c r="O27" s="29">
        <f>IF(L27="","",ROUND(L27*H27-K27,1))</f>
        <v/>
      </c>
      <c r="P27" s="32">
        <f>IF(M27="","",M27+ROW()/1000000)</f>
        <v/>
      </c>
    </row>
    <row r="28">
      <c r="B28" s="23" t="n"/>
      <c r="C28" s="24" t="n"/>
      <c r="D28" s="25" t="n"/>
      <c r="E28" s="24" t="n"/>
      <c r="F28" s="24" t="n"/>
      <c r="G28" s="26" t="n"/>
      <c r="H28" s="27" t="n"/>
      <c r="I28" s="23" t="n"/>
      <c r="J28" s="28" t="n"/>
      <c r="K28" s="29">
        <f>IF(B28="","",ROUND(IF(F28="Solo adultos",Evento!$C$8,Evento!$C$15)*G28*D28*IF(E28="Sí",Evento!$C$11,1)*IF(C28="Bebida",Evento!$C$17,IF(OR(C28="Comida",C28="Postre"),Evento!$C$18,1))*(1+Evento!$C$12),1))</f>
        <v/>
      </c>
      <c r="L28" s="30">
        <f>IF(K28="","",IF(H28&gt;0,ROUNDUP(K28/H28,0),0))</f>
        <v/>
      </c>
      <c r="M28" s="31">
        <f>IF(L28="","",L28*J28)</f>
        <v/>
      </c>
      <c r="N28" s="13">
        <f>IF(M28="","",IF(Evento!$C$16&gt;0,M28/Evento!$C$16,0))</f>
        <v/>
      </c>
      <c r="O28" s="29">
        <f>IF(L28="","",ROUND(L28*H28-K28,1))</f>
        <v/>
      </c>
      <c r="P28" s="32">
        <f>IF(M28="","",M28+ROW()/1000000)</f>
        <v/>
      </c>
    </row>
    <row r="29">
      <c r="B29" s="23" t="n"/>
      <c r="C29" s="24" t="n"/>
      <c r="D29" s="25" t="n"/>
      <c r="E29" s="24" t="n"/>
      <c r="F29" s="24" t="n"/>
      <c r="G29" s="26" t="n"/>
      <c r="H29" s="27" t="n"/>
      <c r="I29" s="23" t="n"/>
      <c r="J29" s="28" t="n"/>
      <c r="K29" s="29">
        <f>IF(B29="","",ROUND(IF(F29="Solo adultos",Evento!$C$8,Evento!$C$15)*G29*D29*IF(E29="Sí",Evento!$C$11,1)*IF(C29="Bebida",Evento!$C$17,IF(OR(C29="Comida",C29="Postre"),Evento!$C$18,1))*(1+Evento!$C$12),1))</f>
        <v/>
      </c>
      <c r="L29" s="30">
        <f>IF(K29="","",IF(H29&gt;0,ROUNDUP(K29/H29,0),0))</f>
        <v/>
      </c>
      <c r="M29" s="31">
        <f>IF(L29="","",L29*J29)</f>
        <v/>
      </c>
      <c r="N29" s="13">
        <f>IF(M29="","",IF(Evento!$C$16&gt;0,M29/Evento!$C$16,0))</f>
        <v/>
      </c>
      <c r="O29" s="29">
        <f>IF(L29="","",ROUND(L29*H29-K29,1))</f>
        <v/>
      </c>
      <c r="P29" s="32">
        <f>IF(M29="","",M29+ROW()/1000000)</f>
        <v/>
      </c>
    </row>
    <row r="30">
      <c r="B30" s="23" t="n"/>
      <c r="C30" s="24" t="n"/>
      <c r="D30" s="25" t="n"/>
      <c r="E30" s="24" t="n"/>
      <c r="F30" s="24" t="n"/>
      <c r="G30" s="26" t="n"/>
      <c r="H30" s="27" t="n"/>
      <c r="I30" s="23" t="n"/>
      <c r="J30" s="28" t="n"/>
      <c r="K30" s="29">
        <f>IF(B30="","",ROUND(IF(F30="Solo adultos",Evento!$C$8,Evento!$C$15)*G30*D30*IF(E30="Sí",Evento!$C$11,1)*IF(C30="Bebida",Evento!$C$17,IF(OR(C30="Comida",C30="Postre"),Evento!$C$18,1))*(1+Evento!$C$12),1))</f>
        <v/>
      </c>
      <c r="L30" s="30">
        <f>IF(K30="","",IF(H30&gt;0,ROUNDUP(K30/H30,0),0))</f>
        <v/>
      </c>
      <c r="M30" s="31">
        <f>IF(L30="","",L30*J30)</f>
        <v/>
      </c>
      <c r="N30" s="13">
        <f>IF(M30="","",IF(Evento!$C$16&gt;0,M30/Evento!$C$16,0))</f>
        <v/>
      </c>
      <c r="O30" s="29">
        <f>IF(L30="","",ROUND(L30*H30-K30,1))</f>
        <v/>
      </c>
      <c r="P30" s="32">
        <f>IF(M30="","",M30+ROW()/1000000)</f>
        <v/>
      </c>
    </row>
    <row r="31">
      <c r="B31" s="23" t="n"/>
      <c r="C31" s="24" t="n"/>
      <c r="D31" s="25" t="n"/>
      <c r="E31" s="24" t="n"/>
      <c r="F31" s="24" t="n"/>
      <c r="G31" s="26" t="n"/>
      <c r="H31" s="27" t="n"/>
      <c r="I31" s="23" t="n"/>
      <c r="J31" s="28" t="n"/>
      <c r="K31" s="29">
        <f>IF(B31="","",ROUND(IF(F31="Solo adultos",Evento!$C$8,Evento!$C$15)*G31*D31*IF(E31="Sí",Evento!$C$11,1)*IF(C31="Bebida",Evento!$C$17,IF(OR(C31="Comida",C31="Postre"),Evento!$C$18,1))*(1+Evento!$C$12),1))</f>
        <v/>
      </c>
      <c r="L31" s="30">
        <f>IF(K31="","",IF(H31&gt;0,ROUNDUP(K31/H31,0),0))</f>
        <v/>
      </c>
      <c r="M31" s="31">
        <f>IF(L31="","",L31*J31)</f>
        <v/>
      </c>
      <c r="N31" s="13">
        <f>IF(M31="","",IF(Evento!$C$16&gt;0,M31/Evento!$C$16,0))</f>
        <v/>
      </c>
      <c r="O31" s="29">
        <f>IF(L31="","",ROUND(L31*H31-K31,1))</f>
        <v/>
      </c>
      <c r="P31" s="32">
        <f>IF(M31="","",M31+ROW()/1000000)</f>
        <v/>
      </c>
    </row>
    <row r="32">
      <c r="B32" s="23" t="n"/>
      <c r="C32" s="24" t="n"/>
      <c r="D32" s="25" t="n"/>
      <c r="E32" s="24" t="n"/>
      <c r="F32" s="24" t="n"/>
      <c r="G32" s="26" t="n"/>
      <c r="H32" s="27" t="n"/>
      <c r="I32" s="23" t="n"/>
      <c r="J32" s="28" t="n"/>
      <c r="K32" s="29">
        <f>IF(B32="","",ROUND(IF(F32="Solo adultos",Evento!$C$8,Evento!$C$15)*G32*D32*IF(E32="Sí",Evento!$C$11,1)*IF(C32="Bebida",Evento!$C$17,IF(OR(C32="Comida",C32="Postre"),Evento!$C$18,1))*(1+Evento!$C$12),1))</f>
        <v/>
      </c>
      <c r="L32" s="30">
        <f>IF(K32="","",IF(H32&gt;0,ROUNDUP(K32/H32,0),0))</f>
        <v/>
      </c>
      <c r="M32" s="31">
        <f>IF(L32="","",L32*J32)</f>
        <v/>
      </c>
      <c r="N32" s="13">
        <f>IF(M32="","",IF(Evento!$C$16&gt;0,M32/Evento!$C$16,0))</f>
        <v/>
      </c>
      <c r="O32" s="29">
        <f>IF(L32="","",ROUND(L32*H32-K32,1))</f>
        <v/>
      </c>
      <c r="P32" s="32">
        <f>IF(M32="","",M32+ROW()/1000000)</f>
        <v/>
      </c>
    </row>
    <row r="33">
      <c r="B33" s="23" t="n"/>
      <c r="C33" s="24" t="n"/>
      <c r="D33" s="25" t="n"/>
      <c r="E33" s="24" t="n"/>
      <c r="F33" s="24" t="n"/>
      <c r="G33" s="26" t="n"/>
      <c r="H33" s="27" t="n"/>
      <c r="I33" s="23" t="n"/>
      <c r="J33" s="28" t="n"/>
      <c r="K33" s="29">
        <f>IF(B33="","",ROUND(IF(F33="Solo adultos",Evento!$C$8,Evento!$C$15)*G33*D33*IF(E33="Sí",Evento!$C$11,1)*IF(C33="Bebida",Evento!$C$17,IF(OR(C33="Comida",C33="Postre"),Evento!$C$18,1))*(1+Evento!$C$12),1))</f>
        <v/>
      </c>
      <c r="L33" s="30">
        <f>IF(K33="","",IF(H33&gt;0,ROUNDUP(K33/H33,0),0))</f>
        <v/>
      </c>
      <c r="M33" s="31">
        <f>IF(L33="","",L33*J33)</f>
        <v/>
      </c>
      <c r="N33" s="13">
        <f>IF(M33="","",IF(Evento!$C$16&gt;0,M33/Evento!$C$16,0))</f>
        <v/>
      </c>
      <c r="O33" s="29">
        <f>IF(L33="","",ROUND(L33*H33-K33,1))</f>
        <v/>
      </c>
      <c r="P33" s="32">
        <f>IF(M33="","",M33+ROW()/1000000)</f>
        <v/>
      </c>
    </row>
    <row r="34">
      <c r="B34" s="23" t="n"/>
      <c r="C34" s="24" t="n"/>
      <c r="D34" s="25" t="n"/>
      <c r="E34" s="24" t="n"/>
      <c r="F34" s="24" t="n"/>
      <c r="G34" s="26" t="n"/>
      <c r="H34" s="27" t="n"/>
      <c r="I34" s="23" t="n"/>
      <c r="J34" s="28" t="n"/>
      <c r="K34" s="29">
        <f>IF(B34="","",ROUND(IF(F34="Solo adultos",Evento!$C$8,Evento!$C$15)*G34*D34*IF(E34="Sí",Evento!$C$11,1)*IF(C34="Bebida",Evento!$C$17,IF(OR(C34="Comida",C34="Postre"),Evento!$C$18,1))*(1+Evento!$C$12),1))</f>
        <v/>
      </c>
      <c r="L34" s="30">
        <f>IF(K34="","",IF(H34&gt;0,ROUNDUP(K34/H34,0),0))</f>
        <v/>
      </c>
      <c r="M34" s="31">
        <f>IF(L34="","",L34*J34)</f>
        <v/>
      </c>
      <c r="N34" s="13">
        <f>IF(M34="","",IF(Evento!$C$16&gt;0,M34/Evento!$C$16,0))</f>
        <v/>
      </c>
      <c r="O34" s="29">
        <f>IF(L34="","",ROUND(L34*H34-K34,1))</f>
        <v/>
      </c>
      <c r="P34" s="32">
        <f>IF(M34="","",M34+ROW()/1000000)</f>
        <v/>
      </c>
    </row>
    <row r="35">
      <c r="B35" s="23" t="n"/>
      <c r="C35" s="24" t="n"/>
      <c r="D35" s="25" t="n"/>
      <c r="E35" s="24" t="n"/>
      <c r="F35" s="24" t="n"/>
      <c r="G35" s="26" t="n"/>
      <c r="H35" s="27" t="n"/>
      <c r="I35" s="23" t="n"/>
      <c r="J35" s="28" t="n"/>
      <c r="K35" s="29">
        <f>IF(B35="","",ROUND(IF(F35="Solo adultos",Evento!$C$8,Evento!$C$15)*G35*D35*IF(E35="Sí",Evento!$C$11,1)*IF(C35="Bebida",Evento!$C$17,IF(OR(C35="Comida",C35="Postre"),Evento!$C$18,1))*(1+Evento!$C$12),1))</f>
        <v/>
      </c>
      <c r="L35" s="30">
        <f>IF(K35="","",IF(H35&gt;0,ROUNDUP(K35/H35,0),0))</f>
        <v/>
      </c>
      <c r="M35" s="31">
        <f>IF(L35="","",L35*J35)</f>
        <v/>
      </c>
      <c r="N35" s="13">
        <f>IF(M35="","",IF(Evento!$C$16&gt;0,M35/Evento!$C$16,0))</f>
        <v/>
      </c>
      <c r="O35" s="29">
        <f>IF(L35="","",ROUND(L35*H35-K35,1))</f>
        <v/>
      </c>
      <c r="P35" s="32">
        <f>IF(M35="","",M35+ROW()/1000000)</f>
        <v/>
      </c>
    </row>
    <row r="36">
      <c r="B36" s="23" t="n"/>
      <c r="C36" s="24" t="n"/>
      <c r="D36" s="25" t="n"/>
      <c r="E36" s="24" t="n"/>
      <c r="F36" s="24" t="n"/>
      <c r="G36" s="26" t="n"/>
      <c r="H36" s="27" t="n"/>
      <c r="I36" s="23" t="n"/>
      <c r="J36" s="28" t="n"/>
      <c r="K36" s="29">
        <f>IF(B36="","",ROUND(IF(F36="Solo adultos",Evento!$C$8,Evento!$C$15)*G36*D36*IF(E36="Sí",Evento!$C$11,1)*IF(C36="Bebida",Evento!$C$17,IF(OR(C36="Comida",C36="Postre"),Evento!$C$18,1))*(1+Evento!$C$12),1))</f>
        <v/>
      </c>
      <c r="L36" s="30">
        <f>IF(K36="","",IF(H36&gt;0,ROUNDUP(K36/H36,0),0))</f>
        <v/>
      </c>
      <c r="M36" s="31">
        <f>IF(L36="","",L36*J36)</f>
        <v/>
      </c>
      <c r="N36" s="13">
        <f>IF(M36="","",IF(Evento!$C$16&gt;0,M36/Evento!$C$16,0))</f>
        <v/>
      </c>
      <c r="O36" s="29">
        <f>IF(L36="","",ROUND(L36*H36-K36,1))</f>
        <v/>
      </c>
      <c r="P36" s="32">
        <f>IF(M36="","",M36+ROW()/1000000)</f>
        <v/>
      </c>
    </row>
    <row r="37">
      <c r="B37" s="23" t="n"/>
      <c r="C37" s="24" t="n"/>
      <c r="D37" s="25" t="n"/>
      <c r="E37" s="24" t="n"/>
      <c r="F37" s="24" t="n"/>
      <c r="G37" s="26" t="n"/>
      <c r="H37" s="27" t="n"/>
      <c r="I37" s="23" t="n"/>
      <c r="J37" s="28" t="n"/>
      <c r="K37" s="29">
        <f>IF(B37="","",ROUND(IF(F37="Solo adultos",Evento!$C$8,Evento!$C$15)*G37*D37*IF(E37="Sí",Evento!$C$11,1)*IF(C37="Bebida",Evento!$C$17,IF(OR(C37="Comida",C37="Postre"),Evento!$C$18,1))*(1+Evento!$C$12),1))</f>
        <v/>
      </c>
      <c r="L37" s="30">
        <f>IF(K37="","",IF(H37&gt;0,ROUNDUP(K37/H37,0),0))</f>
        <v/>
      </c>
      <c r="M37" s="31">
        <f>IF(L37="","",L37*J37)</f>
        <v/>
      </c>
      <c r="N37" s="13">
        <f>IF(M37="","",IF(Evento!$C$16&gt;0,M37/Evento!$C$16,0))</f>
        <v/>
      </c>
      <c r="O37" s="29">
        <f>IF(L37="","",ROUND(L37*H37-K37,1))</f>
        <v/>
      </c>
      <c r="P37" s="32">
        <f>IF(M37="","",M37+ROW()/1000000)</f>
        <v/>
      </c>
    </row>
    <row r="38">
      <c r="B38" s="23" t="n"/>
      <c r="C38" s="24" t="n"/>
      <c r="D38" s="25" t="n"/>
      <c r="E38" s="24" t="n"/>
      <c r="F38" s="24" t="n"/>
      <c r="G38" s="26" t="n"/>
      <c r="H38" s="27" t="n"/>
      <c r="I38" s="23" t="n"/>
      <c r="J38" s="28" t="n"/>
      <c r="K38" s="29">
        <f>IF(B38="","",ROUND(IF(F38="Solo adultos",Evento!$C$8,Evento!$C$15)*G38*D38*IF(E38="Sí",Evento!$C$11,1)*IF(C38="Bebida",Evento!$C$17,IF(OR(C38="Comida",C38="Postre"),Evento!$C$18,1))*(1+Evento!$C$12),1))</f>
        <v/>
      </c>
      <c r="L38" s="30">
        <f>IF(K38="","",IF(H38&gt;0,ROUNDUP(K38/H38,0),0))</f>
        <v/>
      </c>
      <c r="M38" s="31">
        <f>IF(L38="","",L38*J38)</f>
        <v/>
      </c>
      <c r="N38" s="13">
        <f>IF(M38="","",IF(Evento!$C$16&gt;0,M38/Evento!$C$16,0))</f>
        <v/>
      </c>
      <c r="O38" s="29">
        <f>IF(L38="","",ROUND(L38*H38-K38,1))</f>
        <v/>
      </c>
      <c r="P38" s="32">
        <f>IF(M38="","",M38+ROW()/1000000)</f>
        <v/>
      </c>
    </row>
    <row r="39">
      <c r="B39" s="23" t="n"/>
      <c r="C39" s="24" t="n"/>
      <c r="D39" s="25" t="n"/>
      <c r="E39" s="24" t="n"/>
      <c r="F39" s="24" t="n"/>
      <c r="G39" s="26" t="n"/>
      <c r="H39" s="27" t="n"/>
      <c r="I39" s="23" t="n"/>
      <c r="J39" s="28" t="n"/>
      <c r="K39" s="29">
        <f>IF(B39="","",ROUND(IF(F39="Solo adultos",Evento!$C$8,Evento!$C$15)*G39*D39*IF(E39="Sí",Evento!$C$11,1)*IF(C39="Bebida",Evento!$C$17,IF(OR(C39="Comida",C39="Postre"),Evento!$C$18,1))*(1+Evento!$C$12),1))</f>
        <v/>
      </c>
      <c r="L39" s="30">
        <f>IF(K39="","",IF(H39&gt;0,ROUNDUP(K39/H39,0),0))</f>
        <v/>
      </c>
      <c r="M39" s="31">
        <f>IF(L39="","",L39*J39)</f>
        <v/>
      </c>
      <c r="N39" s="13">
        <f>IF(M39="","",IF(Evento!$C$16&gt;0,M39/Evento!$C$16,0))</f>
        <v/>
      </c>
      <c r="O39" s="29">
        <f>IF(L39="","",ROUND(L39*H39-K39,1))</f>
        <v/>
      </c>
      <c r="P39" s="32">
        <f>IF(M39="","",M39+ROW()/1000000)</f>
        <v/>
      </c>
    </row>
    <row r="40">
      <c r="B40" s="23" t="n"/>
      <c r="C40" s="24" t="n"/>
      <c r="D40" s="25" t="n"/>
      <c r="E40" s="24" t="n"/>
      <c r="F40" s="24" t="n"/>
      <c r="G40" s="26" t="n"/>
      <c r="H40" s="27" t="n"/>
      <c r="I40" s="23" t="n"/>
      <c r="J40" s="28" t="n"/>
      <c r="K40" s="29">
        <f>IF(B40="","",ROUND(IF(F40="Solo adultos",Evento!$C$8,Evento!$C$15)*G40*D40*IF(E40="Sí",Evento!$C$11,1)*IF(C40="Bebida",Evento!$C$17,IF(OR(C40="Comida",C40="Postre"),Evento!$C$18,1))*(1+Evento!$C$12),1))</f>
        <v/>
      </c>
      <c r="L40" s="30">
        <f>IF(K40="","",IF(H40&gt;0,ROUNDUP(K40/H40,0),0))</f>
        <v/>
      </c>
      <c r="M40" s="31">
        <f>IF(L40="","",L40*J40)</f>
        <v/>
      </c>
      <c r="N40" s="13">
        <f>IF(M40="","",IF(Evento!$C$16&gt;0,M40/Evento!$C$16,0))</f>
        <v/>
      </c>
      <c r="O40" s="29">
        <f>IF(L40="","",ROUND(L40*H40-K40,1))</f>
        <v/>
      </c>
      <c r="P40" s="32">
        <f>IF(M40="","",M40+ROW()/1000000)</f>
        <v/>
      </c>
    </row>
    <row r="41">
      <c r="B41" s="23" t="n"/>
      <c r="C41" s="24" t="n"/>
      <c r="D41" s="25" t="n"/>
      <c r="E41" s="24" t="n"/>
      <c r="F41" s="24" t="n"/>
      <c r="G41" s="26" t="n"/>
      <c r="H41" s="27" t="n"/>
      <c r="I41" s="23" t="n"/>
      <c r="J41" s="28" t="n"/>
      <c r="K41" s="29">
        <f>IF(B41="","",ROUND(IF(F41="Solo adultos",Evento!$C$8,Evento!$C$15)*G41*D41*IF(E41="Sí",Evento!$C$11,1)*IF(C41="Bebida",Evento!$C$17,IF(OR(C41="Comida",C41="Postre"),Evento!$C$18,1))*(1+Evento!$C$12),1))</f>
        <v/>
      </c>
      <c r="L41" s="30">
        <f>IF(K41="","",IF(H41&gt;0,ROUNDUP(K41/H41,0),0))</f>
        <v/>
      </c>
      <c r="M41" s="31">
        <f>IF(L41="","",L41*J41)</f>
        <v/>
      </c>
      <c r="N41" s="13">
        <f>IF(M41="","",IF(Evento!$C$16&gt;0,M41/Evento!$C$16,0))</f>
        <v/>
      </c>
      <c r="O41" s="29">
        <f>IF(L41="","",ROUND(L41*H41-K41,1))</f>
        <v/>
      </c>
      <c r="P41" s="32">
        <f>IF(M41="","",M41+ROW()/1000000)</f>
        <v/>
      </c>
    </row>
    <row r="42">
      <c r="B42" s="23" t="n"/>
      <c r="C42" s="24" t="n"/>
      <c r="D42" s="25" t="n"/>
      <c r="E42" s="24" t="n"/>
      <c r="F42" s="24" t="n"/>
      <c r="G42" s="26" t="n"/>
      <c r="H42" s="27" t="n"/>
      <c r="I42" s="23" t="n"/>
      <c r="J42" s="28" t="n"/>
      <c r="K42" s="29">
        <f>IF(B42="","",ROUND(IF(F42="Solo adultos",Evento!$C$8,Evento!$C$15)*G42*D42*IF(E42="Sí",Evento!$C$11,1)*IF(C42="Bebida",Evento!$C$17,IF(OR(C42="Comida",C42="Postre"),Evento!$C$18,1))*(1+Evento!$C$12),1))</f>
        <v/>
      </c>
      <c r="L42" s="30">
        <f>IF(K42="","",IF(H42&gt;0,ROUNDUP(K42/H42,0),0))</f>
        <v/>
      </c>
      <c r="M42" s="31">
        <f>IF(L42="","",L42*J42)</f>
        <v/>
      </c>
      <c r="N42" s="13">
        <f>IF(M42="","",IF(Evento!$C$16&gt;0,M42/Evento!$C$16,0))</f>
        <v/>
      </c>
      <c r="O42" s="29">
        <f>IF(L42="","",ROUND(L42*H42-K42,1))</f>
        <v/>
      </c>
      <c r="P42" s="32">
        <f>IF(M42="","",M42+ROW()/1000000)</f>
        <v/>
      </c>
    </row>
    <row r="43">
      <c r="B43" s="23" t="n"/>
      <c r="C43" s="24" t="n"/>
      <c r="D43" s="25" t="n"/>
      <c r="E43" s="24" t="n"/>
      <c r="F43" s="24" t="n"/>
      <c r="G43" s="26" t="n"/>
      <c r="H43" s="27" t="n"/>
      <c r="I43" s="23" t="n"/>
      <c r="J43" s="28" t="n"/>
      <c r="K43" s="29">
        <f>IF(B43="","",ROUND(IF(F43="Solo adultos",Evento!$C$8,Evento!$C$15)*G43*D43*IF(E43="Sí",Evento!$C$11,1)*IF(C43="Bebida",Evento!$C$17,IF(OR(C43="Comida",C43="Postre"),Evento!$C$18,1))*(1+Evento!$C$12),1))</f>
        <v/>
      </c>
      <c r="L43" s="30">
        <f>IF(K43="","",IF(H43&gt;0,ROUNDUP(K43/H43,0),0))</f>
        <v/>
      </c>
      <c r="M43" s="31">
        <f>IF(L43="","",L43*J43)</f>
        <v/>
      </c>
      <c r="N43" s="13">
        <f>IF(M43="","",IF(Evento!$C$16&gt;0,M43/Evento!$C$16,0))</f>
        <v/>
      </c>
      <c r="O43" s="29">
        <f>IF(L43="","",ROUND(L43*H43-K43,1))</f>
        <v/>
      </c>
      <c r="P43" s="32">
        <f>IF(M43="","",M43+ROW()/1000000)</f>
        <v/>
      </c>
    </row>
    <row r="44">
      <c r="B44" s="23" t="n"/>
      <c r="C44" s="24" t="n"/>
      <c r="D44" s="25" t="n"/>
      <c r="E44" s="24" t="n"/>
      <c r="F44" s="24" t="n"/>
      <c r="G44" s="26" t="n"/>
      <c r="H44" s="27" t="n"/>
      <c r="I44" s="23" t="n"/>
      <c r="J44" s="28" t="n"/>
      <c r="K44" s="29">
        <f>IF(B44="","",ROUND(IF(F44="Solo adultos",Evento!$C$8,Evento!$C$15)*G44*D44*IF(E44="Sí",Evento!$C$11,1)*IF(C44="Bebida",Evento!$C$17,IF(OR(C44="Comida",C44="Postre"),Evento!$C$18,1))*(1+Evento!$C$12),1))</f>
        <v/>
      </c>
      <c r="L44" s="30">
        <f>IF(K44="","",IF(H44&gt;0,ROUNDUP(K44/H44,0),0))</f>
        <v/>
      </c>
      <c r="M44" s="31">
        <f>IF(L44="","",L44*J44)</f>
        <v/>
      </c>
      <c r="N44" s="13">
        <f>IF(M44="","",IF(Evento!$C$16&gt;0,M44/Evento!$C$16,0))</f>
        <v/>
      </c>
      <c r="O44" s="29">
        <f>IF(L44="","",ROUND(L44*H44-K44,1))</f>
        <v/>
      </c>
      <c r="P44" s="32">
        <f>IF(M44="","",M44+ROW()/1000000)</f>
        <v/>
      </c>
    </row>
    <row r="45">
      <c r="B45" s="23" t="n"/>
      <c r="C45" s="24" t="n"/>
      <c r="D45" s="25" t="n"/>
      <c r="E45" s="24" t="n"/>
      <c r="F45" s="24" t="n"/>
      <c r="G45" s="26" t="n"/>
      <c r="H45" s="27" t="n"/>
      <c r="I45" s="23" t="n"/>
      <c r="J45" s="28" t="n"/>
      <c r="K45" s="29">
        <f>IF(B45="","",ROUND(IF(F45="Solo adultos",Evento!$C$8,Evento!$C$15)*G45*D45*IF(E45="Sí",Evento!$C$11,1)*IF(C45="Bebida",Evento!$C$17,IF(OR(C45="Comida",C45="Postre"),Evento!$C$18,1))*(1+Evento!$C$12),1))</f>
        <v/>
      </c>
      <c r="L45" s="30">
        <f>IF(K45="","",IF(H45&gt;0,ROUNDUP(K45/H45,0),0))</f>
        <v/>
      </c>
      <c r="M45" s="31">
        <f>IF(L45="","",L45*J45)</f>
        <v/>
      </c>
      <c r="N45" s="13">
        <f>IF(M45="","",IF(Evento!$C$16&gt;0,M45/Evento!$C$16,0))</f>
        <v/>
      </c>
      <c r="O45" s="29">
        <f>IF(L45="","",ROUND(L45*H45-K45,1))</f>
        <v/>
      </c>
      <c r="P45" s="32">
        <f>IF(M45="","",M45+ROW()/1000000)</f>
        <v/>
      </c>
    </row>
    <row r="46">
      <c r="B46" s="23" t="n"/>
      <c r="C46" s="24" t="n"/>
      <c r="D46" s="25" t="n"/>
      <c r="E46" s="24" t="n"/>
      <c r="F46" s="24" t="n"/>
      <c r="G46" s="26" t="n"/>
      <c r="H46" s="27" t="n"/>
      <c r="I46" s="23" t="n"/>
      <c r="J46" s="28" t="n"/>
      <c r="K46" s="29">
        <f>IF(B46="","",ROUND(IF(F46="Solo adultos",Evento!$C$8,Evento!$C$15)*G46*D46*IF(E46="Sí",Evento!$C$11,1)*IF(C46="Bebida",Evento!$C$17,IF(OR(C46="Comida",C46="Postre"),Evento!$C$18,1))*(1+Evento!$C$12),1))</f>
        <v/>
      </c>
      <c r="L46" s="30">
        <f>IF(K46="","",IF(H46&gt;0,ROUNDUP(K46/H46,0),0))</f>
        <v/>
      </c>
      <c r="M46" s="31">
        <f>IF(L46="","",L46*J46)</f>
        <v/>
      </c>
      <c r="N46" s="13">
        <f>IF(M46="","",IF(Evento!$C$16&gt;0,M46/Evento!$C$16,0))</f>
        <v/>
      </c>
      <c r="O46" s="29">
        <f>IF(L46="","",ROUND(L46*H46-K46,1))</f>
        <v/>
      </c>
      <c r="P46" s="32">
        <f>IF(M46="","",M46+ROW()/1000000)</f>
        <v/>
      </c>
    </row>
    <row r="47">
      <c r="B47" s="4" t="inlineStr">
        <is>
          <t>TOTAL</t>
        </is>
      </c>
      <c r="M47" s="16">
        <f>SUM(M7:M46)</f>
        <v/>
      </c>
      <c r="N47" s="16">
        <f>SUM(N7:N46)</f>
        <v/>
      </c>
    </row>
    <row r="48">
      <c r="B48" s="33" t="inlineStr">
        <is>
          <t>Consumo por persona: copas, latas, raciones o unidades (por hora si marcas «Sí» en «¿Por hora?»). En ámbar, productos donde te sobra más de la mitad de lo necesario.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:P3"/>
    <mergeCell ref="B2:P2"/>
  </mergeCells>
  <conditionalFormatting sqref="M7:M46">
    <cfRule type="dataBar" priority="1">
      <dataBar>
        <cfvo type="num" val="0"/>
        <cfvo type="max"/>
        <color rgb="0010B981"/>
      </dataBar>
    </cfRule>
  </conditionalFormatting>
  <conditionalFormatting sqref="B7:B46">
    <cfRule type="expression" priority="2" dxfId="1">
      <formula>MOD(ROW(),2)=0</formula>
    </cfRule>
  </conditionalFormatting>
  <conditionalFormatting sqref="O7:O46">
    <cfRule type="expression" priority="3" dxfId="2">
      <formula>AND(ISNUMBER($O7),$K7&gt;0,$O7&gt;$K7*0.5)</formula>
    </cfRule>
  </conditionalFormatting>
  <dataValidations count="3">
    <dataValidation sqref="C7:C46" showDropDown="0" showInputMessage="0" showErrorMessage="0" allowBlank="1" type="list">
      <formula1>"Bebida,Comida,Postre,Otros"</formula1>
    </dataValidation>
    <dataValidation sqref="E7:E46" showDropDown="0" showInputMessage="0" showErrorMessage="0" allowBlank="1" type="list">
      <formula1>"Sí,No"</formula1>
    </dataValidation>
    <dataValidation sqref="F7:F46" showDropDown="0" showInputMessage="0" showErrorMessage="0" allowBlank="1" type="list">
      <formula1>"Todos,Solo adultos"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FBBF24"/>
    <outlinePr summaryBelow="1" summaryRight="1"/>
    <pageSetUpPr fitToPage="1"/>
  </sheetPr>
  <dimension ref="B2:F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8" customWidth="1" min="2" max="2"/>
    <col width="20" customWidth="1" min="3" max="3"/>
    <col width="18" customWidth="1" min="4" max="4"/>
    <col width="4" customWidth="1" min="5" max="5"/>
    <col width="40" customWidth="1" min="6" max="6"/>
  </cols>
  <sheetData>
    <row r="2" ht="34" customHeight="1">
      <c r="B2" s="1" t="inlineStr">
        <is>
          <t>Datos del evento</t>
        </is>
      </c>
      <c r="C2" s="2" t="n"/>
      <c r="D2" s="2" t="n"/>
      <c r="E2" s="2" t="n"/>
      <c r="F2" s="2" t="n"/>
    </row>
    <row r="3">
      <c r="B3" s="3" t="inlineStr">
        <is>
          <t>Invitados, duración y tipo de celebración: de aquí salen todas las cantidades</t>
        </is>
      </c>
    </row>
    <row r="5">
      <c r="B5" s="34" t="inlineStr">
        <is>
          <t>Nombre del evento</t>
        </is>
      </c>
      <c r="C5" s="23" t="inlineStr">
        <is>
          <t>Cumpleaños 40 de Marta</t>
        </is>
      </c>
      <c r="D5" s="35" t="n"/>
    </row>
    <row r="6">
      <c r="B6" s="34" t="inlineStr">
        <is>
          <t>Tipo de evento</t>
        </is>
      </c>
      <c r="C6" s="23" t="inlineStr">
        <is>
          <t>Cumpleaños</t>
        </is>
      </c>
      <c r="D6" s="35" t="n"/>
    </row>
    <row r="7">
      <c r="B7" s="34" t="inlineStr">
        <is>
          <t>Fecha</t>
        </is>
      </c>
      <c r="C7" s="36" t="n">
        <v>46340</v>
      </c>
    </row>
    <row r="8" ht="30" customHeight="1">
      <c r="B8" s="34" t="inlineStr">
        <is>
          <t>Invitados adultos</t>
        </is>
      </c>
      <c r="C8" s="27" t="n">
        <v>40</v>
      </c>
      <c r="F8" s="37" t="inlineStr">
        <is>
          <t>Los niños no toman alcohol: usa «Solo adultos» en esos productos.</t>
        </is>
      </c>
    </row>
    <row r="9">
      <c r="B9" s="34" t="inlineStr">
        <is>
          <t>Invitados niños</t>
        </is>
      </c>
      <c r="C9" s="27" t="n">
        <v>8</v>
      </c>
    </row>
    <row r="10" ht="30" customHeight="1">
      <c r="B10" s="34" t="inlineStr">
        <is>
          <t>Un niño cuenta como (adultos)</t>
        </is>
      </c>
      <c r="C10" s="25" t="n">
        <v>0.5</v>
      </c>
      <c r="F10" s="37" t="inlineStr">
        <is>
          <t>Ej.: 0,5 = un niño come y bebe la mitad que un adulto.</t>
        </is>
      </c>
    </row>
    <row r="11">
      <c r="B11" s="34" t="inlineStr">
        <is>
          <t>Duración del evento (horas)</t>
        </is>
      </c>
      <c r="C11" s="38" t="n">
        <v>5</v>
      </c>
    </row>
    <row r="12" ht="30" customHeight="1">
      <c r="B12" s="34" t="inlineStr">
        <is>
          <t>Margen de seguridad</t>
        </is>
      </c>
      <c r="C12" s="39" t="n">
        <v>0.1</v>
      </c>
      <c r="F12" s="37" t="inlineStr">
        <is>
          <t>Cantidad extra por si llega alguien más o se come más de lo previsto.</t>
        </is>
      </c>
    </row>
    <row r="13">
      <c r="B13" s="34" t="inlineStr">
        <is>
          <t>Presupuesto máximo (€)</t>
        </is>
      </c>
      <c r="C13" s="28" t="n">
        <v>1000</v>
      </c>
    </row>
    <row r="14">
      <c r="B14" s="9" t="inlineStr">
        <is>
          <t>CALCULADO</t>
        </is>
      </c>
    </row>
    <row r="15">
      <c r="B15" s="34" t="inlineStr">
        <is>
          <t>Personas equivalentes (adultos + niños)</t>
        </is>
      </c>
      <c r="C15" s="40">
        <f>C8+C9*C10</f>
        <v/>
      </c>
    </row>
    <row r="16">
      <c r="B16" s="34" t="inlineStr">
        <is>
          <t>Total de invitados</t>
        </is>
      </c>
      <c r="C16" s="30">
        <f>C8+C9</f>
        <v/>
      </c>
    </row>
    <row r="17">
      <c r="B17" s="34" t="inlineStr">
        <is>
          <t>Factor de bebida de este tipo de evento</t>
        </is>
      </c>
      <c r="C17" s="22">
        <f>IFERROR(VLOOKUP(C6,$B$22:$D$31,2,FALSE),1)</f>
        <v/>
      </c>
    </row>
    <row r="18">
      <c r="B18" s="34" t="inlineStr">
        <is>
          <t>Factor de comida de este tipo de evento</t>
        </is>
      </c>
      <c r="C18" s="22">
        <f>IFERROR(VLOOKUP(C6,$B$22:$D$31,3,FALSE),1)</f>
        <v/>
      </c>
    </row>
    <row r="20">
      <c r="B20" s="9" t="inlineStr">
        <is>
          <t>FACTORES POR TIPO DE EVENTO (editables)</t>
        </is>
      </c>
    </row>
    <row r="21" ht="26" customHeight="1">
      <c r="B21" s="10" t="inlineStr">
        <is>
          <t>Tipo de evento</t>
        </is>
      </c>
      <c r="C21" s="10" t="inlineStr">
        <is>
          <t>Factor bebida</t>
        </is>
      </c>
      <c r="D21" s="10" t="inlineStr">
        <is>
          <t>Factor comida</t>
        </is>
      </c>
    </row>
    <row r="22">
      <c r="B22" s="23" t="inlineStr">
        <is>
          <t>Cumpleaños</t>
        </is>
      </c>
      <c r="C22" s="25" t="n">
        <v>1</v>
      </c>
      <c r="D22" s="25" t="n">
        <v>1</v>
      </c>
    </row>
    <row r="23">
      <c r="B23" s="23" t="inlineStr">
        <is>
          <t>Boda</t>
        </is>
      </c>
      <c r="C23" s="25" t="n">
        <v>1.2</v>
      </c>
      <c r="D23" s="25" t="n">
        <v>1.3</v>
      </c>
    </row>
    <row r="24">
      <c r="B24" s="23" t="inlineStr">
        <is>
          <t>Cena de empresa</t>
        </is>
      </c>
      <c r="C24" s="25" t="n">
        <v>0.8</v>
      </c>
      <c r="D24" s="25" t="n">
        <v>1</v>
      </c>
    </row>
    <row r="25">
      <c r="B25" s="23" t="inlineStr">
        <is>
          <t>Comunión</t>
        </is>
      </c>
      <c r="C25" s="25" t="n">
        <v>0.7</v>
      </c>
      <c r="D25" s="25" t="n">
        <v>1.2</v>
      </c>
    </row>
    <row r="26">
      <c r="B26" s="23" t="inlineStr">
        <is>
          <t>Barbacoa con amigos</t>
        </is>
      </c>
      <c r="C26" s="25" t="n">
        <v>1.2</v>
      </c>
      <c r="D26" s="25" t="n">
        <v>1.2</v>
      </c>
    </row>
    <row r="27">
      <c r="B27" s="23" t="inlineStr">
        <is>
          <t>Cóctel o aperitivo</t>
        </is>
      </c>
      <c r="C27" s="25" t="n">
        <v>1</v>
      </c>
      <c r="D27" s="25" t="n">
        <v>0.7</v>
      </c>
    </row>
    <row r="28">
      <c r="B28" s="23" t="inlineStr">
        <is>
          <t>Despedida</t>
        </is>
      </c>
      <c r="C28" s="25" t="n">
        <v>1.4</v>
      </c>
      <c r="D28" s="25" t="n">
        <v>0.8</v>
      </c>
    </row>
    <row r="29">
      <c r="B29" s="23" t="inlineStr">
        <is>
          <t>Nochevieja</t>
        </is>
      </c>
      <c r="C29" s="25" t="n">
        <v>1.3</v>
      </c>
      <c r="D29" s="25" t="n">
        <v>1.2</v>
      </c>
    </row>
    <row r="30">
      <c r="B30" s="23" t="n"/>
      <c r="C30" s="25" t="n"/>
      <c r="D30" s="25" t="n"/>
    </row>
    <row r="31">
      <c r="B31" s="23" t="n"/>
      <c r="C31" s="25" t="n"/>
      <c r="D31" s="25" t="n"/>
    </row>
    <row r="32" ht="30" customHeight="1">
      <c r="B32" s="37" t="inlineStr">
        <is>
          <t>Factor 1,00 = consumo normal. 1,20 = un 20 % más que lo habitual; 0,80 = un 20 % menos. Son valores orientativos: ajústalos a tu grupo.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5">
    <mergeCell ref="C6:D6"/>
    <mergeCell ref="B2:F2"/>
    <mergeCell ref="C5:D5"/>
    <mergeCell ref="B3:F3"/>
    <mergeCell ref="B32:F32"/>
  </mergeCells>
  <dataValidations count="1">
    <dataValidation sqref="C6" showDropDown="0" showInputMessage="0" showErrorMessage="0" allowBlank="1" type="list">
      <formula1>=$B$22:$B$31</formula1>
    </dataValidation>
  </dataValidation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9CA3AF"/>
    <outlinePr summaryBelow="1" summaryRight="1"/>
    <pageSetUpPr fitToPage="1"/>
  </sheetPr>
  <dimension ref="B2:B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 ht="34" customHeight="1">
      <c r="B2" s="1" t="inlineStr">
        <is>
          <t>Calculadora de comida y bebida para eventos — Instrucciones</t>
        </is>
      </c>
    </row>
    <row r="3">
      <c r="B3" s="3" t="inlineStr">
        <is>
          <t>Plantilla gratuita de Plantillas de Cálculo · plantillasdecalculo.com</t>
        </is>
      </c>
    </row>
    <row r="5">
      <c r="B5" s="9" t="inlineStr">
        <is>
          <t>CÓMO USARLA</t>
        </is>
      </c>
    </row>
    <row r="6" ht="30" customHeight="1">
      <c r="B6" s="41" t="inlineStr">
        <is>
          <t>1.  En «Evento» escribe el nombre, elige el tipo de evento (desplegable) y rellena adultos, niños, duración en horas, margen de seguridad y presupuesto máximo.</t>
        </is>
      </c>
    </row>
    <row r="7" ht="30" customHeight="1">
      <c r="B7" s="41" t="inlineStr">
        <is>
          <t>2.  En la tabla de factores de «Evento» (B22:D31) ajusta cuánto se bebe y se come en cada tipo de celebración respecto a lo normal (1,00).</t>
        </is>
      </c>
    </row>
    <row r="8" ht="30" customHeight="1">
      <c r="B8" s="41" t="inlineStr">
        <is>
          <t>3.  Ve a «Productos» y, desde la fila 7, escribe cada producto con su categoría (Bebida, Comida, Postre u Otros).</t>
        </is>
      </c>
    </row>
    <row r="9" ht="30" customHeight="1">
      <c r="B9" s="41" t="inlineStr">
        <is>
          <t>4.  Indica el consumo por persona (copas, latas, raciones o unidades), si es «por hora» y si lo toman todos o solo adultos, y qué % de invitados lo toma.</t>
        </is>
      </c>
    </row>
    <row r="10" ht="30" customHeight="1">
      <c r="B10" s="41" t="inlineStr">
        <is>
          <t>5.  Pon cuántas porciones trae cada envase (una botella da unas 5 copas) y su precio: la plantilla redondea hacia arriba los envases a comprar.</t>
        </is>
      </c>
    </row>
    <row r="11" ht="30" customHeight="1">
      <c r="B11" s="41" t="inlineStr">
        <is>
          <t>6.  Lee las columnas verdes: porciones necesarias, envases a comprar, coste, coste por invitado y sobrante estimado.</t>
        </is>
      </c>
    </row>
    <row r="12" ht="30" customHeight="1">
      <c r="B12" s="41" t="inlineStr">
        <is>
          <t>7.  Abre «Panel» para ver el coste total, el coste por invitado, la diferencia con tu presupuesto, el reparto por categoría y el Top 5 de productos.</t>
        </is>
      </c>
    </row>
    <row r="14">
      <c r="B14" s="9" t="inlineStr">
        <is>
          <t>CONSEJOS</t>
        </is>
      </c>
    </row>
    <row r="15" ht="30" customHeight="1">
      <c r="B15" s="41" t="inlineStr">
        <is>
          <t>•  Los consumos de ejemplo son orientativos: ajústalos a tu grupo. Si sabes que tus amigos beben poco o mucho, cambia el factor de bebida del tipo de evento.</t>
        </is>
      </c>
    </row>
    <row r="16" ht="30" customHeight="1">
      <c r="B16" s="41" t="inlineStr">
        <is>
          <t>•  La bebida se calcula por hora de evento; la comida, por persona y evento completo. Marca «Sí» o «No» en «¿Por hora?» según el producto.</t>
        </is>
      </c>
    </row>
    <row r="17" ht="30" customHeight="1">
      <c r="B17" s="41" t="inlineStr">
        <is>
          <t>•  Las filas vacías de «Productos» (hasta la 46) ya llevan fórmulas: solo hay que rellenar las celdas crema.</t>
        </is>
      </c>
    </row>
    <row r="18" ht="30" customHeight="1">
      <c r="B18" s="41" t="inlineStr">
        <is>
          <t>•  Si el sobrante (ámbar) es muy alto, plantéate comprar un envase menos o devolver lo que no abras en tiendas que lo permitan.</t>
        </is>
      </c>
    </row>
    <row r="20">
      <c r="B20" s="33" t="inlineStr">
        <is>
          <t>Las celdas con fondo crema y texto azul son para rellenar; las verdes se calculan solas.</t>
        </is>
      </c>
    </row>
    <row r="22" ht="44" customHeight="1">
      <c r="B22" s="42" t="inlineStr">
        <is>
          <t>Aviso: las cantidades por persona, los factores por tipo de evento y los precios son datos de ejemplo editables, no recomendaciones oficiales. Para alimentos perecederos, alergias e intolerancias, consulta con tu proveedor o catering.</t>
        </is>
      </c>
    </row>
  </sheetData>
  <sheetProtection selectLockedCells="0" selectUnlockedCells="0" sheet="1" objects="0" insertRows="0" insertHyperlinks="1" autoFilter="0" scenarios="0" formatColumns="0" deleteColumns="1" insertColumns="1" pivotTables="1" deleteRows="0" formatCells="0" formatRows="0" sort="0"/>
  <mergeCells count="2">
    <mergeCell ref="B3"/>
    <mergeCell ref="B2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2026-10-02T13:07:46Z</dcterms:created>
  <dcterms:modified xmlns:dcterms="http://purl.org/dc/terms/" xmlns:xsi="http://www.w3.org/2001/XMLSchema-instance" xsi:type="dcterms:W3CDTF">2026-10-02T13:07:46Z</dcterms:modified>
</cp:coreProperties>
</file>