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Trayectos" sheetId="2" state="visible" r:id="rId2"/>
    <sheet xmlns:r="http://schemas.openxmlformats.org/officeDocument/2006/relationships" name="Comparativa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0 &quot;€&quot;"/>
    <numFmt numFmtId="165" formatCode="0.0"/>
    <numFmt numFmtId="166" formatCode="#,##0.00 &quot;€&quot;"/>
    <numFmt numFmtId="167" formatCode="yyyy-mm-dd"/>
    <numFmt numFmtId="168" formatCode="dd/mm/yyyy"/>
    <numFmt numFmtId="169" formatCode="0.000"/>
    <numFmt numFmtId="170" formatCode="0.000 &quot;€&quot;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12744A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7" fillId="0" borderId="0" applyAlignment="1" pivotButton="0" quotePrefix="0" xfId="0">
      <alignment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11" fillId="6" borderId="0" applyAlignment="1" pivotButton="0" quotePrefix="0" xfId="0">
      <alignment horizontal="center" vertical="center" wrapText="1"/>
    </xf>
    <xf numFmtId="166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170" fontId="12" fillId="6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166" fontId="5" fillId="0" borderId="1" applyAlignment="1" pivotButton="0" quotePrefix="0" xfId="0">
      <alignment vertical="center"/>
    </xf>
    <xf numFmtId="166" fontId="6" fillId="0" borderId="1" applyAlignment="1" pivotButton="0" quotePrefix="0" xfId="0">
      <alignment vertical="center"/>
    </xf>
    <xf numFmtId="169" fontId="5" fillId="0" borderId="1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169" fontId="8" fillId="5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3" fontId="4" fillId="4" borderId="1" applyAlignment="1" applyProtection="1" pivotButton="0" quotePrefix="0" xfId="0">
      <alignment horizontal="right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6" fontId="4" fillId="4" borderId="1" applyAlignment="1" applyProtection="1" pivotButton="0" quotePrefix="0" xfId="0">
      <alignment vertical="center"/>
      <protection locked="0" hidden="0"/>
    </xf>
    <xf numFmtId="3" fontId="4" fillId="4" borderId="1" applyAlignment="1" applyProtection="1" pivotButton="0" quotePrefix="0" xfId="0">
      <alignment horizontal="center" vertical="center"/>
      <protection locked="0" hidden="0"/>
    </xf>
    <xf numFmtId="168" fontId="4" fillId="4" borderId="1" applyAlignment="1" applyProtection="1" pivotButton="0" quotePrefix="0" xfId="0">
      <alignment horizontal="center" vertical="center"/>
      <protection locked="0" hidden="0"/>
    </xf>
    <xf numFmtId="4" fontId="5" fillId="0" borderId="1" applyAlignment="1" pivotButton="0" quotePrefix="0" xfId="0">
      <alignment vertical="center"/>
    </xf>
    <xf numFmtId="4" fontId="8" fillId="5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3" fontId="4" fillId="4" borderId="1" applyAlignment="1" applyProtection="1" pivotButton="0" quotePrefix="0" xfId="0">
      <alignment vertical="center"/>
      <protection locked="0" hidden="0"/>
    </xf>
    <xf numFmtId="0" fontId="0" fillId="0" borderId="4" applyProtection="1" pivotButton="0" quotePrefix="0" xfId="0">
      <protection locked="0" hidden="0"/>
    </xf>
    <xf numFmtId="165" fontId="5" fillId="0" borderId="1" applyAlignment="1" pivotButton="0" quotePrefix="0" xfId="0">
      <alignment vertical="center"/>
    </xf>
    <xf numFmtId="0" fontId="9" fillId="0" borderId="0" applyAlignment="1" pivotButton="0" quotePrefix="0" xfId="0">
      <alignment horizontal="right" vertical="center"/>
    </xf>
    <xf numFmtId="164" fontId="4" fillId="4" borderId="1" applyAlignment="1" applyProtection="1" pivotButton="0" quotePrefix="0" xfId="0">
      <alignment vertical="center"/>
      <protection locked="0" hidden="0"/>
    </xf>
    <xf numFmtId="165" fontId="4" fillId="4" borderId="1" applyAlignment="1" applyProtection="1" pivotButton="0" quotePrefix="0" xfId="0">
      <alignment vertical="center"/>
      <protection locked="0" hidden="0"/>
    </xf>
    <xf numFmtId="0" fontId="9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Combustible y peajes por vehículo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'Resumen'!E14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'Resumen'!$B$15:$B$19</f>
            </numRef>
          </cat>
          <val>
            <numRef>
              <f>'Resumen'!$E$15:$E$19</f>
            </numRef>
          </val>
        </ser>
        <ser>
          <idx val="1"/>
          <order val="1"/>
          <tx>
            <strRef>
              <f>'Resumen'!F14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'Resumen'!$B$15:$B$19</f>
            </numRef>
          </cat>
          <val>
            <numRef>
              <f>'Resumen'!$F$15:$F$19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total por mes (€)</a:t>
            </a:r>
          </a:p>
        </rich>
      </tx>
    </title>
    <plotArea>
      <lineChart>
        <grouping val="standard"/>
        <ser>
          <idx val="0"/>
          <order val="0"/>
          <tx>
            <strRef>
              <f>'Resumen'!G23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'Resumen'!$B$24:$B$35</f>
            </numRef>
          </cat>
          <val>
            <numRef>
              <f>'Resumen'!$G$24:$G$35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total de la ruta por vehículo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'Comparativa'!I11</f>
            </strRef>
          </tx>
          <spPr>
            <a:ln xmlns:a="http://schemas.openxmlformats.org/drawingml/2006/main">
              <a:prstDash val="solid"/>
            </a:ln>
          </spPr>
          <cat>
            <numRef>
              <f>'Comparativa'!$B$12:$B$16</f>
            </numRef>
          </cat>
          <val>
            <numRef>
              <f>'Comparativa'!$I$12:$I$16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30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2" ht="34" customHeight="1">
      <c r="B2" s="1" t="inlineStr">
        <is>
          <t>Resumen de gasolina y peajes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Cuánto te cuesta moverte en coche, por vehículo y por mes</t>
        </is>
      </c>
    </row>
    <row r="5">
      <c r="B5" s="4" t="inlineStr">
        <is>
          <t>Año a analizar</t>
        </is>
      </c>
      <c r="C5" s="5" t="n">
        <v>2026</v>
      </c>
    </row>
    <row r="7" ht="22" customHeight="1">
      <c r="B7" s="6" t="inlineStr">
        <is>
          <t>COSTE TOTAL DEL AÑO</t>
        </is>
      </c>
      <c r="D7" s="6" t="inlineStr">
        <is>
          <t>COMBUSTIBLE</t>
        </is>
      </c>
      <c r="F7" s="6" t="inlineStr">
        <is>
          <t>PEAJES</t>
        </is>
      </c>
    </row>
    <row r="8" ht="32" customHeight="1">
      <c r="B8" s="7">
        <f>G20</f>
        <v/>
      </c>
      <c r="D8" s="7">
        <f>E20</f>
        <v/>
      </c>
      <c r="F8" s="7">
        <f>F20</f>
        <v/>
      </c>
    </row>
    <row r="10" ht="22" customHeight="1">
      <c r="B10" s="6" t="inlineStr">
        <is>
          <t>KM RECORRIDOS</t>
        </is>
      </c>
      <c r="D10" s="6" t="inlineStr">
        <is>
          <t>COSTE MEDIO POR KM</t>
        </is>
      </c>
      <c r="F10" s="6" t="inlineStr">
        <is>
          <t>TRAYECTOS REGISTRADOS</t>
        </is>
      </c>
    </row>
    <row r="11" ht="32" customHeight="1">
      <c r="B11" s="8">
        <f>D20</f>
        <v/>
      </c>
      <c r="D11" s="9">
        <f>IF(D20&gt;0,G20/D20,0)</f>
        <v/>
      </c>
      <c r="F11" s="8">
        <f>C20</f>
        <v/>
      </c>
    </row>
    <row r="13">
      <c r="B13" s="10" t="inlineStr">
        <is>
          <t>POR VEHÍCULO</t>
        </is>
      </c>
    </row>
    <row r="14" ht="26" customHeight="1">
      <c r="B14" s="11" t="inlineStr">
        <is>
          <t>Vehículo</t>
        </is>
      </c>
      <c r="C14" s="11" t="inlineStr">
        <is>
          <t>Trayectos</t>
        </is>
      </c>
      <c r="D14" s="11" t="inlineStr">
        <is>
          <t>Km</t>
        </is>
      </c>
      <c r="E14" s="11" t="inlineStr">
        <is>
          <t>Combustible</t>
        </is>
      </c>
      <c r="F14" s="11" t="inlineStr">
        <is>
          <t>Peajes</t>
        </is>
      </c>
      <c r="G14" s="11" t="inlineStr">
        <is>
          <t>Total</t>
        </is>
      </c>
      <c r="H14" s="11" t="inlineStr">
        <is>
          <t>€/km</t>
        </is>
      </c>
    </row>
    <row r="15">
      <c r="B15" s="12">
        <f>IF(Ajustes!B14="","",Ajustes!B14)</f>
        <v/>
      </c>
      <c r="C15" s="13">
        <f>IF(B15="","",COUNTIFS(Trayectos!$C$7:$C$46,B15,Trayectos!$H$7:$H$46,"&gt;="&amp;DATE($C$5,1,1),Trayectos!$H$7:$H$46,"&lt;="&amp;DATE($C$5,12,31)))</f>
        <v/>
      </c>
      <c r="D15" s="13">
        <f>IF(B15="","",SUMIFS(Trayectos!$I$7:$I$46,Trayectos!$C$7:$C$46,B15,Trayectos!$H$7:$H$46,"&gt;="&amp;DATE($C$5,1,1),Trayectos!$H$7:$H$46,"&lt;="&amp;DATE($C$5,12,31)))</f>
        <v/>
      </c>
      <c r="E15" s="14">
        <f>IF(B15="","",SUMIFS(Trayectos!$L$7:$L$46,Trayectos!$C$7:$C$46,B15,Trayectos!$H$7:$H$46,"&gt;="&amp;DATE($C$5,1,1),Trayectos!$H$7:$H$46,"&lt;="&amp;DATE($C$5,12,31)))</f>
        <v/>
      </c>
      <c r="F15" s="14">
        <f>IF(B15="","",SUMIFS(Trayectos!$M$7:$M$46,Trayectos!$C$7:$C$46,B15,Trayectos!$H$7:$H$46,"&gt;="&amp;DATE($C$5,1,1),Trayectos!$H$7:$H$46,"&lt;="&amp;DATE($C$5,12,31)))</f>
        <v/>
      </c>
      <c r="G15" s="15">
        <f>IF(B15="","",E15+F15)</f>
        <v/>
      </c>
      <c r="H15" s="16">
        <f>IF(B15="","",IF(D15&gt;0,ROUND(G15/D15,3),0))</f>
        <v/>
      </c>
    </row>
    <row r="16">
      <c r="B16" s="12">
        <f>IF(Ajustes!B15="","",Ajustes!B15)</f>
        <v/>
      </c>
      <c r="C16" s="13">
        <f>IF(B16="","",COUNTIFS(Trayectos!$C$7:$C$46,B16,Trayectos!$H$7:$H$46,"&gt;="&amp;DATE($C$5,1,1),Trayectos!$H$7:$H$46,"&lt;="&amp;DATE($C$5,12,31)))</f>
        <v/>
      </c>
      <c r="D16" s="13">
        <f>IF(B16="","",SUMIFS(Trayectos!$I$7:$I$46,Trayectos!$C$7:$C$46,B16,Trayectos!$H$7:$H$46,"&gt;="&amp;DATE($C$5,1,1),Trayectos!$H$7:$H$46,"&lt;="&amp;DATE($C$5,12,31)))</f>
        <v/>
      </c>
      <c r="E16" s="14">
        <f>IF(B16="","",SUMIFS(Trayectos!$L$7:$L$46,Trayectos!$C$7:$C$46,B16,Trayectos!$H$7:$H$46,"&gt;="&amp;DATE($C$5,1,1),Trayectos!$H$7:$H$46,"&lt;="&amp;DATE($C$5,12,31)))</f>
        <v/>
      </c>
      <c r="F16" s="14">
        <f>IF(B16="","",SUMIFS(Trayectos!$M$7:$M$46,Trayectos!$C$7:$C$46,B16,Trayectos!$H$7:$H$46,"&gt;="&amp;DATE($C$5,1,1),Trayectos!$H$7:$H$46,"&lt;="&amp;DATE($C$5,12,31)))</f>
        <v/>
      </c>
      <c r="G16" s="15">
        <f>IF(B16="","",E16+F16)</f>
        <v/>
      </c>
      <c r="H16" s="16">
        <f>IF(B16="","",IF(D16&gt;0,ROUND(G16/D16,3),0))</f>
        <v/>
      </c>
    </row>
    <row r="17">
      <c r="B17" s="12">
        <f>IF(Ajustes!B16="","",Ajustes!B16)</f>
        <v/>
      </c>
      <c r="C17" s="13">
        <f>IF(B17="","",COUNTIFS(Trayectos!$C$7:$C$46,B17,Trayectos!$H$7:$H$46,"&gt;="&amp;DATE($C$5,1,1),Trayectos!$H$7:$H$46,"&lt;="&amp;DATE($C$5,12,31)))</f>
        <v/>
      </c>
      <c r="D17" s="13">
        <f>IF(B17="","",SUMIFS(Trayectos!$I$7:$I$46,Trayectos!$C$7:$C$46,B17,Trayectos!$H$7:$H$46,"&gt;="&amp;DATE($C$5,1,1),Trayectos!$H$7:$H$46,"&lt;="&amp;DATE($C$5,12,31)))</f>
        <v/>
      </c>
      <c r="E17" s="14">
        <f>IF(B17="","",SUMIFS(Trayectos!$L$7:$L$46,Trayectos!$C$7:$C$46,B17,Trayectos!$H$7:$H$46,"&gt;="&amp;DATE($C$5,1,1),Trayectos!$H$7:$H$46,"&lt;="&amp;DATE($C$5,12,31)))</f>
        <v/>
      </c>
      <c r="F17" s="14">
        <f>IF(B17="","",SUMIFS(Trayectos!$M$7:$M$46,Trayectos!$C$7:$C$46,B17,Trayectos!$H$7:$H$46,"&gt;="&amp;DATE($C$5,1,1),Trayectos!$H$7:$H$46,"&lt;="&amp;DATE($C$5,12,31)))</f>
        <v/>
      </c>
      <c r="G17" s="15">
        <f>IF(B17="","",E17+F17)</f>
        <v/>
      </c>
      <c r="H17" s="16">
        <f>IF(B17="","",IF(D17&gt;0,ROUND(G17/D17,3),0))</f>
        <v/>
      </c>
    </row>
    <row r="18">
      <c r="B18" s="12">
        <f>IF(Ajustes!B17="","",Ajustes!B17)</f>
        <v/>
      </c>
      <c r="C18" s="13">
        <f>IF(B18="","",COUNTIFS(Trayectos!$C$7:$C$46,B18,Trayectos!$H$7:$H$46,"&gt;="&amp;DATE($C$5,1,1),Trayectos!$H$7:$H$46,"&lt;="&amp;DATE($C$5,12,31)))</f>
        <v/>
      </c>
      <c r="D18" s="13">
        <f>IF(B18="","",SUMIFS(Trayectos!$I$7:$I$46,Trayectos!$C$7:$C$46,B18,Trayectos!$H$7:$H$46,"&gt;="&amp;DATE($C$5,1,1),Trayectos!$H$7:$H$46,"&lt;="&amp;DATE($C$5,12,31)))</f>
        <v/>
      </c>
      <c r="E18" s="14">
        <f>IF(B18="","",SUMIFS(Trayectos!$L$7:$L$46,Trayectos!$C$7:$C$46,B18,Trayectos!$H$7:$H$46,"&gt;="&amp;DATE($C$5,1,1),Trayectos!$H$7:$H$46,"&lt;="&amp;DATE($C$5,12,31)))</f>
        <v/>
      </c>
      <c r="F18" s="14">
        <f>IF(B18="","",SUMIFS(Trayectos!$M$7:$M$46,Trayectos!$C$7:$C$46,B18,Trayectos!$H$7:$H$46,"&gt;="&amp;DATE($C$5,1,1),Trayectos!$H$7:$H$46,"&lt;="&amp;DATE($C$5,12,31)))</f>
        <v/>
      </c>
      <c r="G18" s="15">
        <f>IF(B18="","",E18+F18)</f>
        <v/>
      </c>
      <c r="H18" s="16">
        <f>IF(B18="","",IF(D18&gt;0,ROUND(G18/D18,3),0))</f>
        <v/>
      </c>
    </row>
    <row r="19">
      <c r="B19" s="12">
        <f>IF(Ajustes!B18="","",Ajustes!B18)</f>
        <v/>
      </c>
      <c r="C19" s="13">
        <f>IF(B19="","",COUNTIFS(Trayectos!$C$7:$C$46,B19,Trayectos!$H$7:$H$46,"&gt;="&amp;DATE($C$5,1,1),Trayectos!$H$7:$H$46,"&lt;="&amp;DATE($C$5,12,31)))</f>
        <v/>
      </c>
      <c r="D19" s="13">
        <f>IF(B19="","",SUMIFS(Trayectos!$I$7:$I$46,Trayectos!$C$7:$C$46,B19,Trayectos!$H$7:$H$46,"&gt;="&amp;DATE($C$5,1,1),Trayectos!$H$7:$H$46,"&lt;="&amp;DATE($C$5,12,31)))</f>
        <v/>
      </c>
      <c r="E19" s="14">
        <f>IF(B19="","",SUMIFS(Trayectos!$L$7:$L$46,Trayectos!$C$7:$C$46,B19,Trayectos!$H$7:$H$46,"&gt;="&amp;DATE($C$5,1,1),Trayectos!$H$7:$H$46,"&lt;="&amp;DATE($C$5,12,31)))</f>
        <v/>
      </c>
      <c r="F19" s="14">
        <f>IF(B19="","",SUMIFS(Trayectos!$M$7:$M$46,Trayectos!$C$7:$C$46,B19,Trayectos!$H$7:$H$46,"&gt;="&amp;DATE($C$5,1,1),Trayectos!$H$7:$H$46,"&lt;="&amp;DATE($C$5,12,31)))</f>
        <v/>
      </c>
      <c r="G19" s="15">
        <f>IF(B19="","",E19+F19)</f>
        <v/>
      </c>
      <c r="H19" s="16">
        <f>IF(B19="","",IF(D19&gt;0,ROUND(G19/D19,3),0))</f>
        <v/>
      </c>
    </row>
    <row r="20">
      <c r="B20" s="4" t="inlineStr">
        <is>
          <t>TOTAL</t>
        </is>
      </c>
      <c r="C20" s="17">
        <f>SUM(C15:C19)</f>
        <v/>
      </c>
      <c r="D20" s="17">
        <f>SUM(D15:D19)</f>
        <v/>
      </c>
      <c r="E20" s="18">
        <f>SUM(E15:E19)</f>
        <v/>
      </c>
      <c r="F20" s="18">
        <f>SUM(F15:F19)</f>
        <v/>
      </c>
      <c r="G20" s="18">
        <f>SUM(G15:G19)</f>
        <v/>
      </c>
      <c r="H20" s="19">
        <f>IF(D20&gt;0,ROUND(G20/D20,3),0)</f>
        <v/>
      </c>
    </row>
    <row r="22">
      <c r="B22" s="10" t="inlineStr">
        <is>
          <t>POR MES</t>
        </is>
      </c>
    </row>
    <row r="23" ht="32" customHeight="1">
      <c r="B23" s="11" t="inlineStr">
        <is>
          <t>Mes</t>
        </is>
      </c>
      <c r="C23" s="11" t="inlineStr">
        <is>
          <t>Trayectos</t>
        </is>
      </c>
      <c r="D23" s="11" t="inlineStr">
        <is>
          <t>Km</t>
        </is>
      </c>
      <c r="E23" s="11" t="inlineStr">
        <is>
          <t>Combustible</t>
        </is>
      </c>
      <c r="F23" s="11" t="inlineStr">
        <is>
          <t>Peajes</t>
        </is>
      </c>
      <c r="G23" s="11" t="inlineStr">
        <is>
          <t>Total</t>
        </is>
      </c>
      <c r="H23" s="11" t="inlineStr">
        <is>
          <t>Media por trayecto</t>
        </is>
      </c>
    </row>
    <row r="24">
      <c r="B24" s="20" t="inlineStr">
        <is>
          <t>Enero</t>
        </is>
      </c>
      <c r="C24" s="13">
        <f>COUNTIFS(Trayectos!$H$7:$H$46,"&gt;="&amp;DATE($C$5,1,1),Trayectos!$H$7:$H$46,"&lt;"&amp;DATE($C$5,2,1))</f>
        <v/>
      </c>
      <c r="D24" s="13">
        <f>SUMIFS(Trayectos!$I$7:$I$46,Trayectos!$H$7:$H$46,"&gt;="&amp;DATE($C$5,1,1),Trayectos!$H$7:$H$46,"&lt;"&amp;DATE($C$5,2,1))</f>
        <v/>
      </c>
      <c r="E24" s="14">
        <f>SUMIFS(Trayectos!$L$7:$L$46,Trayectos!$H$7:$H$46,"&gt;="&amp;DATE($C$5,1,1),Trayectos!$H$7:$H$46,"&lt;"&amp;DATE($C$5,2,1))</f>
        <v/>
      </c>
      <c r="F24" s="14">
        <f>SUMIFS(Trayectos!$M$7:$M$46,Trayectos!$H$7:$H$46,"&gt;="&amp;DATE($C$5,1,1),Trayectos!$H$7:$H$46,"&lt;"&amp;DATE($C$5,2,1))</f>
        <v/>
      </c>
      <c r="G24" s="15">
        <f>E24+F24</f>
        <v/>
      </c>
      <c r="H24" s="14">
        <f>IF(C24&gt;0,G24/C24,0)</f>
        <v/>
      </c>
    </row>
    <row r="25">
      <c r="B25" s="20" t="inlineStr">
        <is>
          <t>Febrero</t>
        </is>
      </c>
      <c r="C25" s="13">
        <f>COUNTIFS(Trayectos!$H$7:$H$46,"&gt;="&amp;DATE($C$5,2,1),Trayectos!$H$7:$H$46,"&lt;"&amp;DATE($C$5,3,1))</f>
        <v/>
      </c>
      <c r="D25" s="13">
        <f>SUMIFS(Trayectos!$I$7:$I$46,Trayectos!$H$7:$H$46,"&gt;="&amp;DATE($C$5,2,1),Trayectos!$H$7:$H$46,"&lt;"&amp;DATE($C$5,3,1))</f>
        <v/>
      </c>
      <c r="E25" s="14">
        <f>SUMIFS(Trayectos!$L$7:$L$46,Trayectos!$H$7:$H$46,"&gt;="&amp;DATE($C$5,2,1),Trayectos!$H$7:$H$46,"&lt;"&amp;DATE($C$5,3,1))</f>
        <v/>
      </c>
      <c r="F25" s="14">
        <f>SUMIFS(Trayectos!$M$7:$M$46,Trayectos!$H$7:$H$46,"&gt;="&amp;DATE($C$5,2,1),Trayectos!$H$7:$H$46,"&lt;"&amp;DATE($C$5,3,1))</f>
        <v/>
      </c>
      <c r="G25" s="15">
        <f>E25+F25</f>
        <v/>
      </c>
      <c r="H25" s="14">
        <f>IF(C25&gt;0,G25/C25,0)</f>
        <v/>
      </c>
    </row>
    <row r="26">
      <c r="B26" s="20" t="inlineStr">
        <is>
          <t>Marzo</t>
        </is>
      </c>
      <c r="C26" s="13">
        <f>COUNTIFS(Trayectos!$H$7:$H$46,"&gt;="&amp;DATE($C$5,3,1),Trayectos!$H$7:$H$46,"&lt;"&amp;DATE($C$5,4,1))</f>
        <v/>
      </c>
      <c r="D26" s="13">
        <f>SUMIFS(Trayectos!$I$7:$I$46,Trayectos!$H$7:$H$46,"&gt;="&amp;DATE($C$5,3,1),Trayectos!$H$7:$H$46,"&lt;"&amp;DATE($C$5,4,1))</f>
        <v/>
      </c>
      <c r="E26" s="14">
        <f>SUMIFS(Trayectos!$L$7:$L$46,Trayectos!$H$7:$H$46,"&gt;="&amp;DATE($C$5,3,1),Trayectos!$H$7:$H$46,"&lt;"&amp;DATE($C$5,4,1))</f>
        <v/>
      </c>
      <c r="F26" s="14">
        <f>SUMIFS(Trayectos!$M$7:$M$46,Trayectos!$H$7:$H$46,"&gt;="&amp;DATE($C$5,3,1),Trayectos!$H$7:$H$46,"&lt;"&amp;DATE($C$5,4,1))</f>
        <v/>
      </c>
      <c r="G26" s="15">
        <f>E26+F26</f>
        <v/>
      </c>
      <c r="H26" s="14">
        <f>IF(C26&gt;0,G26/C26,0)</f>
        <v/>
      </c>
    </row>
    <row r="27">
      <c r="B27" s="20" t="inlineStr">
        <is>
          <t>Abril</t>
        </is>
      </c>
      <c r="C27" s="13">
        <f>COUNTIFS(Trayectos!$H$7:$H$46,"&gt;="&amp;DATE($C$5,4,1),Trayectos!$H$7:$H$46,"&lt;"&amp;DATE($C$5,5,1))</f>
        <v/>
      </c>
      <c r="D27" s="13">
        <f>SUMIFS(Trayectos!$I$7:$I$46,Trayectos!$H$7:$H$46,"&gt;="&amp;DATE($C$5,4,1),Trayectos!$H$7:$H$46,"&lt;"&amp;DATE($C$5,5,1))</f>
        <v/>
      </c>
      <c r="E27" s="14">
        <f>SUMIFS(Trayectos!$L$7:$L$46,Trayectos!$H$7:$H$46,"&gt;="&amp;DATE($C$5,4,1),Trayectos!$H$7:$H$46,"&lt;"&amp;DATE($C$5,5,1))</f>
        <v/>
      </c>
      <c r="F27" s="14">
        <f>SUMIFS(Trayectos!$M$7:$M$46,Trayectos!$H$7:$H$46,"&gt;="&amp;DATE($C$5,4,1),Trayectos!$H$7:$H$46,"&lt;"&amp;DATE($C$5,5,1))</f>
        <v/>
      </c>
      <c r="G27" s="15">
        <f>E27+F27</f>
        <v/>
      </c>
      <c r="H27" s="14">
        <f>IF(C27&gt;0,G27/C27,0)</f>
        <v/>
      </c>
    </row>
    <row r="28">
      <c r="B28" s="20" t="inlineStr">
        <is>
          <t>Mayo</t>
        </is>
      </c>
      <c r="C28" s="13">
        <f>COUNTIFS(Trayectos!$H$7:$H$46,"&gt;="&amp;DATE($C$5,5,1),Trayectos!$H$7:$H$46,"&lt;"&amp;DATE($C$5,6,1))</f>
        <v/>
      </c>
      <c r="D28" s="13">
        <f>SUMIFS(Trayectos!$I$7:$I$46,Trayectos!$H$7:$H$46,"&gt;="&amp;DATE($C$5,5,1),Trayectos!$H$7:$H$46,"&lt;"&amp;DATE($C$5,6,1))</f>
        <v/>
      </c>
      <c r="E28" s="14">
        <f>SUMIFS(Trayectos!$L$7:$L$46,Trayectos!$H$7:$H$46,"&gt;="&amp;DATE($C$5,5,1),Trayectos!$H$7:$H$46,"&lt;"&amp;DATE($C$5,6,1))</f>
        <v/>
      </c>
      <c r="F28" s="14">
        <f>SUMIFS(Trayectos!$M$7:$M$46,Trayectos!$H$7:$H$46,"&gt;="&amp;DATE($C$5,5,1),Trayectos!$H$7:$H$46,"&lt;"&amp;DATE($C$5,6,1))</f>
        <v/>
      </c>
      <c r="G28" s="15">
        <f>E28+F28</f>
        <v/>
      </c>
      <c r="H28" s="14">
        <f>IF(C28&gt;0,G28/C28,0)</f>
        <v/>
      </c>
    </row>
    <row r="29">
      <c r="B29" s="20" t="inlineStr">
        <is>
          <t>Junio</t>
        </is>
      </c>
      <c r="C29" s="13">
        <f>COUNTIFS(Trayectos!$H$7:$H$46,"&gt;="&amp;DATE($C$5,6,1),Trayectos!$H$7:$H$46,"&lt;"&amp;DATE($C$5,7,1))</f>
        <v/>
      </c>
      <c r="D29" s="13">
        <f>SUMIFS(Trayectos!$I$7:$I$46,Trayectos!$H$7:$H$46,"&gt;="&amp;DATE($C$5,6,1),Trayectos!$H$7:$H$46,"&lt;"&amp;DATE($C$5,7,1))</f>
        <v/>
      </c>
      <c r="E29" s="14">
        <f>SUMIFS(Trayectos!$L$7:$L$46,Trayectos!$H$7:$H$46,"&gt;="&amp;DATE($C$5,6,1),Trayectos!$H$7:$H$46,"&lt;"&amp;DATE($C$5,7,1))</f>
        <v/>
      </c>
      <c r="F29" s="14">
        <f>SUMIFS(Trayectos!$M$7:$M$46,Trayectos!$H$7:$H$46,"&gt;="&amp;DATE($C$5,6,1),Trayectos!$H$7:$H$46,"&lt;"&amp;DATE($C$5,7,1))</f>
        <v/>
      </c>
      <c r="G29" s="15">
        <f>E29+F29</f>
        <v/>
      </c>
      <c r="H29" s="14">
        <f>IF(C29&gt;0,G29/C29,0)</f>
        <v/>
      </c>
    </row>
    <row r="30">
      <c r="B30" s="20" t="inlineStr">
        <is>
          <t>Julio</t>
        </is>
      </c>
      <c r="C30" s="13">
        <f>COUNTIFS(Trayectos!$H$7:$H$46,"&gt;="&amp;DATE($C$5,7,1),Trayectos!$H$7:$H$46,"&lt;"&amp;DATE($C$5,8,1))</f>
        <v/>
      </c>
      <c r="D30" s="13">
        <f>SUMIFS(Trayectos!$I$7:$I$46,Trayectos!$H$7:$H$46,"&gt;="&amp;DATE($C$5,7,1),Trayectos!$H$7:$H$46,"&lt;"&amp;DATE($C$5,8,1))</f>
        <v/>
      </c>
      <c r="E30" s="14">
        <f>SUMIFS(Trayectos!$L$7:$L$46,Trayectos!$H$7:$H$46,"&gt;="&amp;DATE($C$5,7,1),Trayectos!$H$7:$H$46,"&lt;"&amp;DATE($C$5,8,1))</f>
        <v/>
      </c>
      <c r="F30" s="14">
        <f>SUMIFS(Trayectos!$M$7:$M$46,Trayectos!$H$7:$H$46,"&gt;="&amp;DATE($C$5,7,1),Trayectos!$H$7:$H$46,"&lt;"&amp;DATE($C$5,8,1))</f>
        <v/>
      </c>
      <c r="G30" s="15">
        <f>E30+F30</f>
        <v/>
      </c>
      <c r="H30" s="14">
        <f>IF(C30&gt;0,G30/C30,0)</f>
        <v/>
      </c>
    </row>
    <row r="31">
      <c r="B31" s="20" t="inlineStr">
        <is>
          <t>Agosto</t>
        </is>
      </c>
      <c r="C31" s="13">
        <f>COUNTIFS(Trayectos!$H$7:$H$46,"&gt;="&amp;DATE($C$5,8,1),Trayectos!$H$7:$H$46,"&lt;"&amp;DATE($C$5,9,1))</f>
        <v/>
      </c>
      <c r="D31" s="13">
        <f>SUMIFS(Trayectos!$I$7:$I$46,Trayectos!$H$7:$H$46,"&gt;="&amp;DATE($C$5,8,1),Trayectos!$H$7:$H$46,"&lt;"&amp;DATE($C$5,9,1))</f>
        <v/>
      </c>
      <c r="E31" s="14">
        <f>SUMIFS(Trayectos!$L$7:$L$46,Trayectos!$H$7:$H$46,"&gt;="&amp;DATE($C$5,8,1),Trayectos!$H$7:$H$46,"&lt;"&amp;DATE($C$5,9,1))</f>
        <v/>
      </c>
      <c r="F31" s="14">
        <f>SUMIFS(Trayectos!$M$7:$M$46,Trayectos!$H$7:$H$46,"&gt;="&amp;DATE($C$5,8,1),Trayectos!$H$7:$H$46,"&lt;"&amp;DATE($C$5,9,1))</f>
        <v/>
      </c>
      <c r="G31" s="15">
        <f>E31+F31</f>
        <v/>
      </c>
      <c r="H31" s="14">
        <f>IF(C31&gt;0,G31/C31,0)</f>
        <v/>
      </c>
    </row>
    <row r="32">
      <c r="B32" s="20" t="inlineStr">
        <is>
          <t>Septiembre</t>
        </is>
      </c>
      <c r="C32" s="13">
        <f>COUNTIFS(Trayectos!$H$7:$H$46,"&gt;="&amp;DATE($C$5,9,1),Trayectos!$H$7:$H$46,"&lt;"&amp;DATE($C$5,10,1))</f>
        <v/>
      </c>
      <c r="D32" s="13">
        <f>SUMIFS(Trayectos!$I$7:$I$46,Trayectos!$H$7:$H$46,"&gt;="&amp;DATE($C$5,9,1),Trayectos!$H$7:$H$46,"&lt;"&amp;DATE($C$5,10,1))</f>
        <v/>
      </c>
      <c r="E32" s="14">
        <f>SUMIFS(Trayectos!$L$7:$L$46,Trayectos!$H$7:$H$46,"&gt;="&amp;DATE($C$5,9,1),Trayectos!$H$7:$H$46,"&lt;"&amp;DATE($C$5,10,1))</f>
        <v/>
      </c>
      <c r="F32" s="14">
        <f>SUMIFS(Trayectos!$M$7:$M$46,Trayectos!$H$7:$H$46,"&gt;="&amp;DATE($C$5,9,1),Trayectos!$H$7:$H$46,"&lt;"&amp;DATE($C$5,10,1))</f>
        <v/>
      </c>
      <c r="G32" s="15">
        <f>E32+F32</f>
        <v/>
      </c>
      <c r="H32" s="14">
        <f>IF(C32&gt;0,G32/C32,0)</f>
        <v/>
      </c>
    </row>
    <row r="33">
      <c r="B33" s="20" t="inlineStr">
        <is>
          <t>Octubre</t>
        </is>
      </c>
      <c r="C33" s="13">
        <f>COUNTIFS(Trayectos!$H$7:$H$46,"&gt;="&amp;DATE($C$5,10,1),Trayectos!$H$7:$H$46,"&lt;"&amp;DATE($C$5,11,1))</f>
        <v/>
      </c>
      <c r="D33" s="13">
        <f>SUMIFS(Trayectos!$I$7:$I$46,Trayectos!$H$7:$H$46,"&gt;="&amp;DATE($C$5,10,1),Trayectos!$H$7:$H$46,"&lt;"&amp;DATE($C$5,11,1))</f>
        <v/>
      </c>
      <c r="E33" s="14">
        <f>SUMIFS(Trayectos!$L$7:$L$46,Trayectos!$H$7:$H$46,"&gt;="&amp;DATE($C$5,10,1),Trayectos!$H$7:$H$46,"&lt;"&amp;DATE($C$5,11,1))</f>
        <v/>
      </c>
      <c r="F33" s="14">
        <f>SUMIFS(Trayectos!$M$7:$M$46,Trayectos!$H$7:$H$46,"&gt;="&amp;DATE($C$5,10,1),Trayectos!$H$7:$H$46,"&lt;"&amp;DATE($C$5,11,1))</f>
        <v/>
      </c>
      <c r="G33" s="15">
        <f>E33+F33</f>
        <v/>
      </c>
      <c r="H33" s="14">
        <f>IF(C33&gt;0,G33/C33,0)</f>
        <v/>
      </c>
    </row>
    <row r="34">
      <c r="B34" s="20" t="inlineStr">
        <is>
          <t>Noviembre</t>
        </is>
      </c>
      <c r="C34" s="13">
        <f>COUNTIFS(Trayectos!$H$7:$H$46,"&gt;="&amp;DATE($C$5,11,1),Trayectos!$H$7:$H$46,"&lt;"&amp;DATE($C$5,12,1))</f>
        <v/>
      </c>
      <c r="D34" s="13">
        <f>SUMIFS(Trayectos!$I$7:$I$46,Trayectos!$H$7:$H$46,"&gt;="&amp;DATE($C$5,11,1),Trayectos!$H$7:$H$46,"&lt;"&amp;DATE($C$5,12,1))</f>
        <v/>
      </c>
      <c r="E34" s="14">
        <f>SUMIFS(Trayectos!$L$7:$L$46,Trayectos!$H$7:$H$46,"&gt;="&amp;DATE($C$5,11,1),Trayectos!$H$7:$H$46,"&lt;"&amp;DATE($C$5,12,1))</f>
        <v/>
      </c>
      <c r="F34" s="14">
        <f>SUMIFS(Trayectos!$M$7:$M$46,Trayectos!$H$7:$H$46,"&gt;="&amp;DATE($C$5,11,1),Trayectos!$H$7:$H$46,"&lt;"&amp;DATE($C$5,12,1))</f>
        <v/>
      </c>
      <c r="G34" s="15">
        <f>E34+F34</f>
        <v/>
      </c>
      <c r="H34" s="14">
        <f>IF(C34&gt;0,G34/C34,0)</f>
        <v/>
      </c>
    </row>
    <row r="35">
      <c r="B35" s="20" t="inlineStr">
        <is>
          <t>Diciembre</t>
        </is>
      </c>
      <c r="C35" s="13">
        <f>COUNTIFS(Trayectos!$H$7:$H$46,"&gt;="&amp;DATE($C$5,12,1),Trayectos!$H$7:$H$46,"&lt;"&amp;DATE($C$5,13,1))</f>
        <v/>
      </c>
      <c r="D35" s="13">
        <f>SUMIFS(Trayectos!$I$7:$I$46,Trayectos!$H$7:$H$46,"&gt;="&amp;DATE($C$5,12,1),Trayectos!$H$7:$H$46,"&lt;"&amp;DATE($C$5,13,1))</f>
        <v/>
      </c>
      <c r="E35" s="14">
        <f>SUMIFS(Trayectos!$L$7:$L$46,Trayectos!$H$7:$H$46,"&gt;="&amp;DATE($C$5,12,1),Trayectos!$H$7:$H$46,"&lt;"&amp;DATE($C$5,13,1))</f>
        <v/>
      </c>
      <c r="F35" s="14">
        <f>SUMIFS(Trayectos!$M$7:$M$46,Trayectos!$H$7:$H$46,"&gt;="&amp;DATE($C$5,12,1),Trayectos!$H$7:$H$46,"&lt;"&amp;DATE($C$5,13,1))</f>
        <v/>
      </c>
      <c r="G35" s="15">
        <f>E35+F35</f>
        <v/>
      </c>
      <c r="H35" s="14">
        <f>IF(C35&gt;0,G35/C35,0)</f>
        <v/>
      </c>
    </row>
    <row r="36">
      <c r="B36" s="4" t="inlineStr">
        <is>
          <t>TOTAL</t>
        </is>
      </c>
      <c r="C36" s="17">
        <f>SUM(C24:C35)</f>
        <v/>
      </c>
      <c r="D36" s="17">
        <f>SUM(D24:D35)</f>
        <v/>
      </c>
      <c r="E36" s="18">
        <f>SUM(E24:E35)</f>
        <v/>
      </c>
      <c r="F36" s="18">
        <f>SUM(F24:F35)</f>
        <v/>
      </c>
      <c r="G36" s="18">
        <f>SUM(G24:G35)</f>
        <v/>
      </c>
      <c r="H36" s="18">
        <f>IF(C36&gt;0,G36/C36,0)</f>
        <v/>
      </c>
    </row>
    <row r="37">
      <c r="B37" s="21" t="inlineStr">
        <is>
          <t>En ámbar, el mes en que más has gastado.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D8:E8"/>
    <mergeCell ref="F11:G11"/>
    <mergeCell ref="D7:E7"/>
    <mergeCell ref="B7:C7"/>
    <mergeCell ref="B11:C11"/>
    <mergeCell ref="D10:E10"/>
    <mergeCell ref="F10:G10"/>
    <mergeCell ref="D11:E11"/>
    <mergeCell ref="B10:C10"/>
    <mergeCell ref="B2:H2"/>
    <mergeCell ref="B3:H3"/>
    <mergeCell ref="B8:C8"/>
    <mergeCell ref="F7:G7"/>
    <mergeCell ref="F8:G8"/>
  </mergeCells>
  <conditionalFormatting sqref="G15:G19">
    <cfRule type="dataBar" priority="1">
      <dataBar>
        <cfvo type="num" val="0"/>
        <cfvo type="max"/>
        <color rgb="0010B981"/>
      </dataBar>
    </cfRule>
  </conditionalFormatting>
  <conditionalFormatting sqref="G24:G35">
    <cfRule type="dataBar" priority="2">
      <dataBar>
        <cfvo type="num" val="0"/>
        <cfvo type="max"/>
        <color rgb="0010B981"/>
      </dataBar>
    </cfRule>
  </conditionalFormatting>
  <conditionalFormatting sqref="B24:H35">
    <cfRule type="expression" priority="3" dxfId="0">
      <formula>AND($C24&gt;0,$G24=MAX($G$24:$G$35))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P4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22" customWidth="1" min="3" max="3"/>
    <col width="12" customWidth="1" min="4" max="4"/>
    <col width="12" customWidth="1" min="5" max="5"/>
    <col width="13" customWidth="1" min="6" max="6"/>
    <col width="10" customWidth="1" min="7" max="7"/>
    <col width="13" customWidth="1" min="8" max="8"/>
    <col width="12" customWidth="1" min="9" max="9"/>
    <col width="11" customWidth="1" min="10" max="10"/>
    <col width="11" customWidth="1" min="11" max="11"/>
    <col width="14" customWidth="1" min="12" max="12"/>
    <col width="12" customWidth="1" min="13" max="13"/>
    <col width="14" customWidth="1" min="14" max="14"/>
    <col width="13" customWidth="1" min="15" max="15"/>
    <col width="10" customWidth="1" min="16" max="16"/>
  </cols>
  <sheetData>
    <row r="2" ht="34" customHeight="1">
      <c r="B2" s="1" t="inlineStr">
        <is>
          <t>Registro de trayectos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Anota km, vehículo, peajes y personas: el coste sale solo</t>
        </is>
      </c>
    </row>
    <row r="6" ht="34" customHeight="1">
      <c r="B6" s="11" t="inlineStr">
        <is>
          <t>Trayecto</t>
        </is>
      </c>
      <c r="C6" s="11" t="inlineStr">
        <is>
          <t>Vehículo</t>
        </is>
      </c>
      <c r="D6" s="11" t="inlineStr">
        <is>
          <t>Km (un sentido)</t>
        </is>
      </c>
      <c r="E6" s="11" t="inlineStr">
        <is>
          <t>¿Ida y vuelta?</t>
        </is>
      </c>
      <c r="F6" s="11" t="inlineStr">
        <is>
          <t>Peajes por sentido</t>
        </is>
      </c>
      <c r="G6" s="11" t="inlineStr">
        <is>
          <t>Personas</t>
        </is>
      </c>
      <c r="H6" s="11" t="inlineStr">
        <is>
          <t>Fecha</t>
        </is>
      </c>
      <c r="I6" s="11" t="inlineStr">
        <is>
          <t>Km totales</t>
        </is>
      </c>
      <c r="J6" s="11" t="inlineStr">
        <is>
          <t>Litros</t>
        </is>
      </c>
      <c r="K6" s="11" t="inlineStr">
        <is>
          <t>Precio €/l</t>
        </is>
      </c>
      <c r="L6" s="11" t="inlineStr">
        <is>
          <t>Combustible</t>
        </is>
      </c>
      <c r="M6" s="11" t="inlineStr">
        <is>
          <t>Peajes</t>
        </is>
      </c>
      <c r="N6" s="11" t="inlineStr">
        <is>
          <t>Coste total</t>
        </is>
      </c>
      <c r="O6" s="11" t="inlineStr">
        <is>
          <t>Por persona</t>
        </is>
      </c>
      <c r="P6" s="11" t="inlineStr">
        <is>
          <t>€/km</t>
        </is>
      </c>
    </row>
    <row r="7">
      <c r="B7" s="22" t="inlineStr">
        <is>
          <t>Escapada a la sierra</t>
        </is>
      </c>
      <c r="C7" s="22" t="inlineStr">
        <is>
          <t>Utilitario gasolina</t>
        </is>
      </c>
      <c r="D7" s="23" t="n">
        <v>95</v>
      </c>
      <c r="E7" s="24" t="inlineStr">
        <is>
          <t>Sí</t>
        </is>
      </c>
      <c r="F7" s="25" t="n">
        <v>0</v>
      </c>
      <c r="G7" s="26" t="n">
        <v>2</v>
      </c>
      <c r="H7" s="27" t="n">
        <v>46046</v>
      </c>
      <c r="I7" s="13">
        <f>IF(D7="","",D7*IF(E7="Sí",2,1))</f>
        <v/>
      </c>
      <c r="J7" s="28">
        <f>IF(OR(I7="",C7=""),"",ROUND(I7*IFERROR(VLOOKUP(C7,Ajustes!$B$14:$D$18,3,FALSE),0)/100,2))</f>
        <v/>
      </c>
      <c r="K7" s="16">
        <f>IF(OR(I7="",C7=""),"",IFERROR(VLOOKUP(VLOOKUP(C7,Ajustes!$B$14:$C$18,2,FALSE),Ajustes!$B$6:$C$10,2,FALSE),0))</f>
        <v/>
      </c>
      <c r="L7" s="14">
        <f>IF(J7="","",ROUND(J7*K7,2))</f>
        <v/>
      </c>
      <c r="M7" s="14">
        <f>IF(I7="","",IF(F7="",0,F7)*IF(E7="Sí",2,1))</f>
        <v/>
      </c>
      <c r="N7" s="15">
        <f>IF(L7="","",L7+M7)</f>
        <v/>
      </c>
      <c r="O7" s="14">
        <f>IF(N7="","",ROUND(N7/IF(G7&gt;0,G7,1),2))</f>
        <v/>
      </c>
      <c r="P7" s="16">
        <f>IF(OR(N7="",I7=""),"",IF(I7&gt;0,ROUND(N7/I7,3),0))</f>
        <v/>
      </c>
    </row>
    <row r="8">
      <c r="B8" s="22" t="inlineStr">
        <is>
          <t>Fin de semana en Valencia</t>
        </is>
      </c>
      <c r="C8" s="22" t="inlineStr">
        <is>
          <t>Berlina diésel</t>
        </is>
      </c>
      <c r="D8" s="23" t="n">
        <v>355</v>
      </c>
      <c r="E8" s="24" t="inlineStr">
        <is>
          <t>Sí</t>
        </is>
      </c>
      <c r="F8" s="25" t="n">
        <v>8.35</v>
      </c>
      <c r="G8" s="26" t="n">
        <v>2</v>
      </c>
      <c r="H8" s="27" t="n">
        <v>46067</v>
      </c>
      <c r="I8" s="13">
        <f>IF(D8="","",D8*IF(E8="Sí",2,1))</f>
        <v/>
      </c>
      <c r="J8" s="28">
        <f>IF(OR(I8="",C8=""),"",ROUND(I8*IFERROR(VLOOKUP(C8,Ajustes!$B$14:$D$18,3,FALSE),0)/100,2))</f>
        <v/>
      </c>
      <c r="K8" s="16">
        <f>IF(OR(I8="",C8=""),"",IFERROR(VLOOKUP(VLOOKUP(C8,Ajustes!$B$14:$C$18,2,FALSE),Ajustes!$B$6:$C$10,2,FALSE),0))</f>
        <v/>
      </c>
      <c r="L8" s="14">
        <f>IF(J8="","",ROUND(J8*K8,2))</f>
        <v/>
      </c>
      <c r="M8" s="14">
        <f>IF(I8="","",IF(F8="",0,F8)*IF(E8="Sí",2,1))</f>
        <v/>
      </c>
      <c r="N8" s="15">
        <f>IF(L8="","",L8+M8)</f>
        <v/>
      </c>
      <c r="O8" s="14">
        <f>IF(N8="","",ROUND(N8/IF(G8&gt;0,G8,1),2))</f>
        <v/>
      </c>
      <c r="P8" s="16">
        <f>IF(OR(N8="",I8=""),"",IF(I8&gt;0,ROUND(N8/I8,3),0))</f>
        <v/>
      </c>
    </row>
    <row r="9">
      <c r="B9" s="22" t="inlineStr">
        <is>
          <t>Visita a la familia</t>
        </is>
      </c>
      <c r="C9" s="22" t="inlineStr">
        <is>
          <t>SUV familiar diésel</t>
        </is>
      </c>
      <c r="D9" s="23" t="n">
        <v>210</v>
      </c>
      <c r="E9" s="24" t="inlineStr">
        <is>
          <t>Sí</t>
        </is>
      </c>
      <c r="F9" s="25" t="n">
        <v>12.6</v>
      </c>
      <c r="G9" s="26" t="n">
        <v>4</v>
      </c>
      <c r="H9" s="27" t="n">
        <v>46089</v>
      </c>
      <c r="I9" s="13">
        <f>IF(D9="","",D9*IF(E9="Sí",2,1))</f>
        <v/>
      </c>
      <c r="J9" s="28">
        <f>IF(OR(I9="",C9=""),"",ROUND(I9*IFERROR(VLOOKUP(C9,Ajustes!$B$14:$D$18,3,FALSE),0)/100,2))</f>
        <v/>
      </c>
      <c r="K9" s="16">
        <f>IF(OR(I9="",C9=""),"",IFERROR(VLOOKUP(VLOOKUP(C9,Ajustes!$B$14:$C$18,2,FALSE),Ajustes!$B$6:$C$10,2,FALSE),0))</f>
        <v/>
      </c>
      <c r="L9" s="14">
        <f>IF(J9="","",ROUND(J9*K9,2))</f>
        <v/>
      </c>
      <c r="M9" s="14">
        <f>IF(I9="","",IF(F9="",0,F9)*IF(E9="Sí",2,1))</f>
        <v/>
      </c>
      <c r="N9" s="15">
        <f>IF(L9="","",L9+M9)</f>
        <v/>
      </c>
      <c r="O9" s="14">
        <f>IF(N9="","",ROUND(N9/IF(G9&gt;0,G9,1),2))</f>
        <v/>
      </c>
      <c r="P9" s="16">
        <f>IF(OR(N9="",I9=""),"",IF(I9&gt;0,ROUND(N9/I9,3),0))</f>
        <v/>
      </c>
    </row>
    <row r="10">
      <c r="B10" s="22" t="inlineStr">
        <is>
          <t>Puente de abril en la costa</t>
        </is>
      </c>
      <c r="C10" s="22" t="inlineStr">
        <is>
          <t>SUV familiar diésel</t>
        </is>
      </c>
      <c r="D10" s="23" t="n">
        <v>420</v>
      </c>
      <c r="E10" s="24" t="inlineStr">
        <is>
          <t>Sí</t>
        </is>
      </c>
      <c r="F10" s="25" t="n">
        <v>31.45</v>
      </c>
      <c r="G10" s="26" t="n">
        <v>4</v>
      </c>
      <c r="H10" s="27" t="n">
        <v>46115</v>
      </c>
      <c r="I10" s="13">
        <f>IF(D10="","",D10*IF(E10="Sí",2,1))</f>
        <v/>
      </c>
      <c r="J10" s="28">
        <f>IF(OR(I10="",C10=""),"",ROUND(I10*IFERROR(VLOOKUP(C10,Ajustes!$B$14:$D$18,3,FALSE),0)/100,2))</f>
        <v/>
      </c>
      <c r="K10" s="16">
        <f>IF(OR(I10="",C10=""),"",IFERROR(VLOOKUP(VLOOKUP(C10,Ajustes!$B$14:$C$18,2,FALSE),Ajustes!$B$6:$C$10,2,FALSE),0))</f>
        <v/>
      </c>
      <c r="L10" s="14">
        <f>IF(J10="","",ROUND(J10*K10,2))</f>
        <v/>
      </c>
      <c r="M10" s="14">
        <f>IF(I10="","",IF(F10="",0,F10)*IF(E10="Sí",2,1))</f>
        <v/>
      </c>
      <c r="N10" s="15">
        <f>IF(L10="","",L10+M10)</f>
        <v/>
      </c>
      <c r="O10" s="14">
        <f>IF(N10="","",ROUND(N10/IF(G10&gt;0,G10,1),2))</f>
        <v/>
      </c>
      <c r="P10" s="16">
        <f>IF(OR(N10="",I10=""),"",IF(I10&gt;0,ROUND(N10/I10,3),0))</f>
        <v/>
      </c>
    </row>
    <row r="11">
      <c r="B11" s="22" t="inlineStr">
        <is>
          <t>Ruta en moto por la montaña</t>
        </is>
      </c>
      <c r="C11" s="22" t="inlineStr">
        <is>
          <t>Moto 125</t>
        </is>
      </c>
      <c r="D11" s="23" t="n">
        <v>140</v>
      </c>
      <c r="E11" s="24" t="inlineStr">
        <is>
          <t>Sí</t>
        </is>
      </c>
      <c r="F11" s="25" t="n">
        <v>0</v>
      </c>
      <c r="G11" s="26" t="n">
        <v>1</v>
      </c>
      <c r="H11" s="27" t="n">
        <v>46151</v>
      </c>
      <c r="I11" s="13">
        <f>IF(D11="","",D11*IF(E11="Sí",2,1))</f>
        <v/>
      </c>
      <c r="J11" s="28">
        <f>IF(OR(I11="",C11=""),"",ROUND(I11*IFERROR(VLOOKUP(C11,Ajustes!$B$14:$D$18,3,FALSE),0)/100,2))</f>
        <v/>
      </c>
      <c r="K11" s="16">
        <f>IF(OR(I11="",C11=""),"",IFERROR(VLOOKUP(VLOOKUP(C11,Ajustes!$B$14:$C$18,2,FALSE),Ajustes!$B$6:$C$10,2,FALSE),0))</f>
        <v/>
      </c>
      <c r="L11" s="14">
        <f>IF(J11="","",ROUND(J11*K11,2))</f>
        <v/>
      </c>
      <c r="M11" s="14">
        <f>IF(I11="","",IF(F11="",0,F11)*IF(E11="Sí",2,1))</f>
        <v/>
      </c>
      <c r="N11" s="15">
        <f>IF(L11="","",L11+M11)</f>
        <v/>
      </c>
      <c r="O11" s="14">
        <f>IF(N11="","",ROUND(N11/IF(G11&gt;0,G11,1),2))</f>
        <v/>
      </c>
      <c r="P11" s="16">
        <f>IF(OR(N11="",I11=""),"",IF(I11&gt;0,ROUND(N11/I11,3),0))</f>
        <v/>
      </c>
    </row>
    <row r="12">
      <c r="B12" s="22" t="inlineStr">
        <is>
          <t>Boda de unos amigos</t>
        </is>
      </c>
      <c r="C12" s="22" t="inlineStr">
        <is>
          <t>Berlina diésel</t>
        </is>
      </c>
      <c r="D12" s="23" t="n">
        <v>275</v>
      </c>
      <c r="E12" s="24" t="inlineStr">
        <is>
          <t>Sí</t>
        </is>
      </c>
      <c r="F12" s="25" t="n">
        <v>19.8</v>
      </c>
      <c r="G12" s="26" t="n">
        <v>3</v>
      </c>
      <c r="H12" s="27" t="n">
        <v>46172</v>
      </c>
      <c r="I12" s="13">
        <f>IF(D12="","",D12*IF(E12="Sí",2,1))</f>
        <v/>
      </c>
      <c r="J12" s="28">
        <f>IF(OR(I12="",C12=""),"",ROUND(I12*IFERROR(VLOOKUP(C12,Ajustes!$B$14:$D$18,3,FALSE),0)/100,2))</f>
        <v/>
      </c>
      <c r="K12" s="16">
        <f>IF(OR(I12="",C12=""),"",IFERROR(VLOOKUP(VLOOKUP(C12,Ajustes!$B$14:$C$18,2,FALSE),Ajustes!$B$6:$C$10,2,FALSE),0))</f>
        <v/>
      </c>
      <c r="L12" s="14">
        <f>IF(J12="","",ROUND(J12*K12,2))</f>
        <v/>
      </c>
      <c r="M12" s="14">
        <f>IF(I12="","",IF(F12="",0,F12)*IF(E12="Sí",2,1))</f>
        <v/>
      </c>
      <c r="N12" s="15">
        <f>IF(L12="","",L12+M12)</f>
        <v/>
      </c>
      <c r="O12" s="14">
        <f>IF(N12="","",ROUND(N12/IF(G12&gt;0,G12,1),2))</f>
        <v/>
      </c>
      <c r="P12" s="16">
        <f>IF(OR(N12="",I12=""),"",IF(I12&gt;0,ROUND(N12/I12,3),0))</f>
        <v/>
      </c>
    </row>
    <row r="13">
      <c r="B13" s="22" t="inlineStr">
        <is>
          <t>Vacaciones: ida al norte</t>
        </is>
      </c>
      <c r="C13" s="22" t="inlineStr">
        <is>
          <t>Furgoneta camper</t>
        </is>
      </c>
      <c r="D13" s="23" t="n">
        <v>640</v>
      </c>
      <c r="E13" s="24" t="inlineStr">
        <is>
          <t>No</t>
        </is>
      </c>
      <c r="F13" s="25" t="n">
        <v>46.9</v>
      </c>
      <c r="G13" s="26" t="n">
        <v>4</v>
      </c>
      <c r="H13" s="27" t="n">
        <v>46221</v>
      </c>
      <c r="I13" s="13">
        <f>IF(D13="","",D13*IF(E13="Sí",2,1))</f>
        <v/>
      </c>
      <c r="J13" s="28">
        <f>IF(OR(I13="",C13=""),"",ROUND(I13*IFERROR(VLOOKUP(C13,Ajustes!$B$14:$D$18,3,FALSE),0)/100,2))</f>
        <v/>
      </c>
      <c r="K13" s="16">
        <f>IF(OR(I13="",C13=""),"",IFERROR(VLOOKUP(VLOOKUP(C13,Ajustes!$B$14:$C$18,2,FALSE),Ajustes!$B$6:$C$10,2,FALSE),0))</f>
        <v/>
      </c>
      <c r="L13" s="14">
        <f>IF(J13="","",ROUND(J13*K13,2))</f>
        <v/>
      </c>
      <c r="M13" s="14">
        <f>IF(I13="","",IF(F13="",0,F13)*IF(E13="Sí",2,1))</f>
        <v/>
      </c>
      <c r="N13" s="15">
        <f>IF(L13="","",L13+M13)</f>
        <v/>
      </c>
      <c r="O13" s="14">
        <f>IF(N13="","",ROUND(N13/IF(G13&gt;0,G13,1),2))</f>
        <v/>
      </c>
      <c r="P13" s="16">
        <f>IF(OR(N13="",I13=""),"",IF(I13&gt;0,ROUND(N13/I13,3),0))</f>
        <v/>
      </c>
    </row>
    <row r="14">
      <c r="B14" s="22" t="inlineStr">
        <is>
          <t>Vacaciones: vuelta a casa</t>
        </is>
      </c>
      <c r="C14" s="22" t="inlineStr">
        <is>
          <t>Furgoneta camper</t>
        </is>
      </c>
      <c r="D14" s="23" t="n">
        <v>640</v>
      </c>
      <c r="E14" s="24" t="inlineStr">
        <is>
          <t>No</t>
        </is>
      </c>
      <c r="F14" s="25" t="n">
        <v>46.9</v>
      </c>
      <c r="G14" s="26" t="n">
        <v>4</v>
      </c>
      <c r="H14" s="27" t="n">
        <v>46236</v>
      </c>
      <c r="I14" s="13">
        <f>IF(D14="","",D14*IF(E14="Sí",2,1))</f>
        <v/>
      </c>
      <c r="J14" s="28">
        <f>IF(OR(I14="",C14=""),"",ROUND(I14*IFERROR(VLOOKUP(C14,Ajustes!$B$14:$D$18,3,FALSE),0)/100,2))</f>
        <v/>
      </c>
      <c r="K14" s="16">
        <f>IF(OR(I14="",C14=""),"",IFERROR(VLOOKUP(VLOOKUP(C14,Ajustes!$B$14:$C$18,2,FALSE),Ajustes!$B$6:$C$10,2,FALSE),0))</f>
        <v/>
      </c>
      <c r="L14" s="14">
        <f>IF(J14="","",ROUND(J14*K14,2))</f>
        <v/>
      </c>
      <c r="M14" s="14">
        <f>IF(I14="","",IF(F14="",0,F14)*IF(E14="Sí",2,1))</f>
        <v/>
      </c>
      <c r="N14" s="15">
        <f>IF(L14="","",L14+M14)</f>
        <v/>
      </c>
      <c r="O14" s="14">
        <f>IF(N14="","",ROUND(N14/IF(G14&gt;0,G14,1),2))</f>
        <v/>
      </c>
      <c r="P14" s="16">
        <f>IF(OR(N14="",I14=""),"",IF(I14&gt;0,ROUND(N14/I14,3),0))</f>
        <v/>
      </c>
    </row>
    <row r="15">
      <c r="B15" s="22" t="inlineStr">
        <is>
          <t>Excursión de un día</t>
        </is>
      </c>
      <c r="C15" s="22" t="inlineStr">
        <is>
          <t>Utilitario gasolina</t>
        </is>
      </c>
      <c r="D15" s="23" t="n">
        <v>60</v>
      </c>
      <c r="E15" s="24" t="inlineStr">
        <is>
          <t>Sí</t>
        </is>
      </c>
      <c r="F15" s="25" t="n">
        <v>0</v>
      </c>
      <c r="G15" s="26" t="n">
        <v>3</v>
      </c>
      <c r="H15" s="27" t="n">
        <v>46249</v>
      </c>
      <c r="I15" s="13">
        <f>IF(D15="","",D15*IF(E15="Sí",2,1))</f>
        <v/>
      </c>
      <c r="J15" s="28">
        <f>IF(OR(I15="",C15=""),"",ROUND(I15*IFERROR(VLOOKUP(C15,Ajustes!$B$14:$D$18,3,FALSE),0)/100,2))</f>
        <v/>
      </c>
      <c r="K15" s="16">
        <f>IF(OR(I15="",C15=""),"",IFERROR(VLOOKUP(VLOOKUP(C15,Ajustes!$B$14:$C$18,2,FALSE),Ajustes!$B$6:$C$10,2,FALSE),0))</f>
        <v/>
      </c>
      <c r="L15" s="14">
        <f>IF(J15="","",ROUND(J15*K15,2))</f>
        <v/>
      </c>
      <c r="M15" s="14">
        <f>IF(I15="","",IF(F15="",0,F15)*IF(E15="Sí",2,1))</f>
        <v/>
      </c>
      <c r="N15" s="15">
        <f>IF(L15="","",L15+M15)</f>
        <v/>
      </c>
      <c r="O15" s="14">
        <f>IF(N15="","",ROUND(N15/IF(G15&gt;0,G15,1),2))</f>
        <v/>
      </c>
      <c r="P15" s="16">
        <f>IF(OR(N15="",I15=""),"",IF(I15&gt;0,ROUND(N15/I15,3),0))</f>
        <v/>
      </c>
    </row>
    <row r="16">
      <c r="B16" s="22" t="inlineStr">
        <is>
          <t>Visita a la familia</t>
        </is>
      </c>
      <c r="C16" s="22" t="inlineStr">
        <is>
          <t>SUV familiar diésel</t>
        </is>
      </c>
      <c r="D16" s="23" t="n">
        <v>210</v>
      </c>
      <c r="E16" s="24" t="inlineStr">
        <is>
          <t>Sí</t>
        </is>
      </c>
      <c r="F16" s="25" t="n">
        <v>12.6</v>
      </c>
      <c r="G16" s="26" t="n">
        <v>4</v>
      </c>
      <c r="H16" s="27" t="n">
        <v>46271</v>
      </c>
      <c r="I16" s="13">
        <f>IF(D16="","",D16*IF(E16="Sí",2,1))</f>
        <v/>
      </c>
      <c r="J16" s="28">
        <f>IF(OR(I16="",C16=""),"",ROUND(I16*IFERROR(VLOOKUP(C16,Ajustes!$B$14:$D$18,3,FALSE),0)/100,2))</f>
        <v/>
      </c>
      <c r="K16" s="16">
        <f>IF(OR(I16="",C16=""),"",IFERROR(VLOOKUP(VLOOKUP(C16,Ajustes!$B$14:$C$18,2,FALSE),Ajustes!$B$6:$C$10,2,FALSE),0))</f>
        <v/>
      </c>
      <c r="L16" s="14">
        <f>IF(J16="","",ROUND(J16*K16,2))</f>
        <v/>
      </c>
      <c r="M16" s="14">
        <f>IF(I16="","",IF(F16="",0,F16)*IF(E16="Sí",2,1))</f>
        <v/>
      </c>
      <c r="N16" s="15">
        <f>IF(L16="","",L16+M16)</f>
        <v/>
      </c>
      <c r="O16" s="14">
        <f>IF(N16="","",ROUND(N16/IF(G16&gt;0,G16,1),2))</f>
        <v/>
      </c>
      <c r="P16" s="16">
        <f>IF(OR(N16="",I16=""),"",IF(I16&gt;0,ROUND(N16/I16,3),0))</f>
        <v/>
      </c>
    </row>
    <row r="17">
      <c r="B17" s="22" t="inlineStr">
        <is>
          <t>Congreso en otra ciudad</t>
        </is>
      </c>
      <c r="C17" s="22" t="inlineStr">
        <is>
          <t>Berlina diésel</t>
        </is>
      </c>
      <c r="D17" s="23" t="n">
        <v>520</v>
      </c>
      <c r="E17" s="24" t="inlineStr">
        <is>
          <t>Sí</t>
        </is>
      </c>
      <c r="F17" s="25" t="n">
        <v>38.7</v>
      </c>
      <c r="G17" s="26" t="n">
        <v>1</v>
      </c>
      <c r="H17" s="27" t="n">
        <v>46286</v>
      </c>
      <c r="I17" s="13">
        <f>IF(D17="","",D17*IF(E17="Sí",2,1))</f>
        <v/>
      </c>
      <c r="J17" s="28">
        <f>IF(OR(I17="",C17=""),"",ROUND(I17*IFERROR(VLOOKUP(C17,Ajustes!$B$14:$D$18,3,FALSE),0)/100,2))</f>
        <v/>
      </c>
      <c r="K17" s="16">
        <f>IF(OR(I17="",C17=""),"",IFERROR(VLOOKUP(VLOOKUP(C17,Ajustes!$B$14:$C$18,2,FALSE),Ajustes!$B$6:$C$10,2,FALSE),0))</f>
        <v/>
      </c>
      <c r="L17" s="14">
        <f>IF(J17="","",ROUND(J17*K17,2))</f>
        <v/>
      </c>
      <c r="M17" s="14">
        <f>IF(I17="","",IF(F17="",0,F17)*IF(E17="Sí",2,1))</f>
        <v/>
      </c>
      <c r="N17" s="15">
        <f>IF(L17="","",L17+M17)</f>
        <v/>
      </c>
      <c r="O17" s="14">
        <f>IF(N17="","",ROUND(N17/IF(G17&gt;0,G17,1),2))</f>
        <v/>
      </c>
      <c r="P17" s="16">
        <f>IF(OR(N17="",I17=""),"",IF(I17&gt;0,ROUND(N17/I17,3),0))</f>
        <v/>
      </c>
    </row>
    <row r="18">
      <c r="B18" s="22" t="inlineStr">
        <is>
          <t>Escapada de otoño</t>
        </is>
      </c>
      <c r="C18" s="22" t="inlineStr">
        <is>
          <t>Utilitario gasolina</t>
        </is>
      </c>
      <c r="D18" s="23" t="n">
        <v>180</v>
      </c>
      <c r="E18" s="24" t="inlineStr">
        <is>
          <t>Sí</t>
        </is>
      </c>
      <c r="F18" s="25" t="n">
        <v>7.25</v>
      </c>
      <c r="G18" s="26" t="n">
        <v>2</v>
      </c>
      <c r="H18" s="27" t="n">
        <v>46292</v>
      </c>
      <c r="I18" s="13">
        <f>IF(D18="","",D18*IF(E18="Sí",2,1))</f>
        <v/>
      </c>
      <c r="J18" s="28">
        <f>IF(OR(I18="",C18=""),"",ROUND(I18*IFERROR(VLOOKUP(C18,Ajustes!$B$14:$D$18,3,FALSE),0)/100,2))</f>
        <v/>
      </c>
      <c r="K18" s="16">
        <f>IF(OR(I18="",C18=""),"",IFERROR(VLOOKUP(VLOOKUP(C18,Ajustes!$B$14:$C$18,2,FALSE),Ajustes!$B$6:$C$10,2,FALSE),0))</f>
        <v/>
      </c>
      <c r="L18" s="14">
        <f>IF(J18="","",ROUND(J18*K18,2))</f>
        <v/>
      </c>
      <c r="M18" s="14">
        <f>IF(I18="","",IF(F18="",0,F18)*IF(E18="Sí",2,1))</f>
        <v/>
      </c>
      <c r="N18" s="15">
        <f>IF(L18="","",L18+M18)</f>
        <v/>
      </c>
      <c r="O18" s="14">
        <f>IF(N18="","",ROUND(N18/IF(G18&gt;0,G18,1),2))</f>
        <v/>
      </c>
      <c r="P18" s="16">
        <f>IF(OR(N18="",I18=""),"",IF(I18&gt;0,ROUND(N18/I18,3),0))</f>
        <v/>
      </c>
    </row>
    <row r="19">
      <c r="B19" s="22" t="n"/>
      <c r="C19" s="22" t="n"/>
      <c r="D19" s="23" t="n"/>
      <c r="E19" s="24" t="n"/>
      <c r="F19" s="25" t="n"/>
      <c r="G19" s="26" t="n"/>
      <c r="H19" s="27" t="n"/>
      <c r="I19" s="13">
        <f>IF(D19="","",D19*IF(E19="Sí",2,1))</f>
        <v/>
      </c>
      <c r="J19" s="28">
        <f>IF(OR(I19="",C19=""),"",ROUND(I19*IFERROR(VLOOKUP(C19,Ajustes!$B$14:$D$18,3,FALSE),0)/100,2))</f>
        <v/>
      </c>
      <c r="K19" s="16">
        <f>IF(OR(I19="",C19=""),"",IFERROR(VLOOKUP(VLOOKUP(C19,Ajustes!$B$14:$C$18,2,FALSE),Ajustes!$B$6:$C$10,2,FALSE),0))</f>
        <v/>
      </c>
      <c r="L19" s="14">
        <f>IF(J19="","",ROUND(J19*K19,2))</f>
        <v/>
      </c>
      <c r="M19" s="14">
        <f>IF(I19="","",IF(F19="",0,F19)*IF(E19="Sí",2,1))</f>
        <v/>
      </c>
      <c r="N19" s="15">
        <f>IF(L19="","",L19+M19)</f>
        <v/>
      </c>
      <c r="O19" s="14">
        <f>IF(N19="","",ROUND(N19/IF(G19&gt;0,G19,1),2))</f>
        <v/>
      </c>
      <c r="P19" s="16">
        <f>IF(OR(N19="",I19=""),"",IF(I19&gt;0,ROUND(N19/I19,3),0))</f>
        <v/>
      </c>
    </row>
    <row r="20">
      <c r="B20" s="22" t="n"/>
      <c r="C20" s="22" t="n"/>
      <c r="D20" s="23" t="n"/>
      <c r="E20" s="24" t="n"/>
      <c r="F20" s="25" t="n"/>
      <c r="G20" s="26" t="n"/>
      <c r="H20" s="27" t="n"/>
      <c r="I20" s="13">
        <f>IF(D20="","",D20*IF(E20="Sí",2,1))</f>
        <v/>
      </c>
      <c r="J20" s="28">
        <f>IF(OR(I20="",C20=""),"",ROUND(I20*IFERROR(VLOOKUP(C20,Ajustes!$B$14:$D$18,3,FALSE),0)/100,2))</f>
        <v/>
      </c>
      <c r="K20" s="16">
        <f>IF(OR(I20="",C20=""),"",IFERROR(VLOOKUP(VLOOKUP(C20,Ajustes!$B$14:$C$18,2,FALSE),Ajustes!$B$6:$C$10,2,FALSE),0))</f>
        <v/>
      </c>
      <c r="L20" s="14">
        <f>IF(J20="","",ROUND(J20*K20,2))</f>
        <v/>
      </c>
      <c r="M20" s="14">
        <f>IF(I20="","",IF(F20="",0,F20)*IF(E20="Sí",2,1))</f>
        <v/>
      </c>
      <c r="N20" s="15">
        <f>IF(L20="","",L20+M20)</f>
        <v/>
      </c>
      <c r="O20" s="14">
        <f>IF(N20="","",ROUND(N20/IF(G20&gt;0,G20,1),2))</f>
        <v/>
      </c>
      <c r="P20" s="16">
        <f>IF(OR(N20="",I20=""),"",IF(I20&gt;0,ROUND(N20/I20,3),0))</f>
        <v/>
      </c>
    </row>
    <row r="21">
      <c r="B21" s="22" t="n"/>
      <c r="C21" s="22" t="n"/>
      <c r="D21" s="23" t="n"/>
      <c r="E21" s="24" t="n"/>
      <c r="F21" s="25" t="n"/>
      <c r="G21" s="26" t="n"/>
      <c r="H21" s="27" t="n"/>
      <c r="I21" s="13">
        <f>IF(D21="","",D21*IF(E21="Sí",2,1))</f>
        <v/>
      </c>
      <c r="J21" s="28">
        <f>IF(OR(I21="",C21=""),"",ROUND(I21*IFERROR(VLOOKUP(C21,Ajustes!$B$14:$D$18,3,FALSE),0)/100,2))</f>
        <v/>
      </c>
      <c r="K21" s="16">
        <f>IF(OR(I21="",C21=""),"",IFERROR(VLOOKUP(VLOOKUP(C21,Ajustes!$B$14:$C$18,2,FALSE),Ajustes!$B$6:$C$10,2,FALSE),0))</f>
        <v/>
      </c>
      <c r="L21" s="14">
        <f>IF(J21="","",ROUND(J21*K21,2))</f>
        <v/>
      </c>
      <c r="M21" s="14">
        <f>IF(I21="","",IF(F21="",0,F21)*IF(E21="Sí",2,1))</f>
        <v/>
      </c>
      <c r="N21" s="15">
        <f>IF(L21="","",L21+M21)</f>
        <v/>
      </c>
      <c r="O21" s="14">
        <f>IF(N21="","",ROUND(N21/IF(G21&gt;0,G21,1),2))</f>
        <v/>
      </c>
      <c r="P21" s="16">
        <f>IF(OR(N21="",I21=""),"",IF(I21&gt;0,ROUND(N21/I21,3),0))</f>
        <v/>
      </c>
    </row>
    <row r="22">
      <c r="B22" s="22" t="n"/>
      <c r="C22" s="22" t="n"/>
      <c r="D22" s="23" t="n"/>
      <c r="E22" s="24" t="n"/>
      <c r="F22" s="25" t="n"/>
      <c r="G22" s="26" t="n"/>
      <c r="H22" s="27" t="n"/>
      <c r="I22" s="13">
        <f>IF(D22="","",D22*IF(E22="Sí",2,1))</f>
        <v/>
      </c>
      <c r="J22" s="28">
        <f>IF(OR(I22="",C22=""),"",ROUND(I22*IFERROR(VLOOKUP(C22,Ajustes!$B$14:$D$18,3,FALSE),0)/100,2))</f>
        <v/>
      </c>
      <c r="K22" s="16">
        <f>IF(OR(I22="",C22=""),"",IFERROR(VLOOKUP(VLOOKUP(C22,Ajustes!$B$14:$C$18,2,FALSE),Ajustes!$B$6:$C$10,2,FALSE),0))</f>
        <v/>
      </c>
      <c r="L22" s="14">
        <f>IF(J22="","",ROUND(J22*K22,2))</f>
        <v/>
      </c>
      <c r="M22" s="14">
        <f>IF(I22="","",IF(F22="",0,F22)*IF(E22="Sí",2,1))</f>
        <v/>
      </c>
      <c r="N22" s="15">
        <f>IF(L22="","",L22+M22)</f>
        <v/>
      </c>
      <c r="O22" s="14">
        <f>IF(N22="","",ROUND(N22/IF(G22&gt;0,G22,1),2))</f>
        <v/>
      </c>
      <c r="P22" s="16">
        <f>IF(OR(N22="",I22=""),"",IF(I22&gt;0,ROUND(N22/I22,3),0))</f>
        <v/>
      </c>
    </row>
    <row r="23">
      <c r="B23" s="22" t="n"/>
      <c r="C23" s="22" t="n"/>
      <c r="D23" s="23" t="n"/>
      <c r="E23" s="24" t="n"/>
      <c r="F23" s="25" t="n"/>
      <c r="G23" s="26" t="n"/>
      <c r="H23" s="27" t="n"/>
      <c r="I23" s="13">
        <f>IF(D23="","",D23*IF(E23="Sí",2,1))</f>
        <v/>
      </c>
      <c r="J23" s="28">
        <f>IF(OR(I23="",C23=""),"",ROUND(I23*IFERROR(VLOOKUP(C23,Ajustes!$B$14:$D$18,3,FALSE),0)/100,2))</f>
        <v/>
      </c>
      <c r="K23" s="16">
        <f>IF(OR(I23="",C23=""),"",IFERROR(VLOOKUP(VLOOKUP(C23,Ajustes!$B$14:$C$18,2,FALSE),Ajustes!$B$6:$C$10,2,FALSE),0))</f>
        <v/>
      </c>
      <c r="L23" s="14">
        <f>IF(J23="","",ROUND(J23*K23,2))</f>
        <v/>
      </c>
      <c r="M23" s="14">
        <f>IF(I23="","",IF(F23="",0,F23)*IF(E23="Sí",2,1))</f>
        <v/>
      </c>
      <c r="N23" s="15">
        <f>IF(L23="","",L23+M23)</f>
        <v/>
      </c>
      <c r="O23" s="14">
        <f>IF(N23="","",ROUND(N23/IF(G23&gt;0,G23,1),2))</f>
        <v/>
      </c>
      <c r="P23" s="16">
        <f>IF(OR(N23="",I23=""),"",IF(I23&gt;0,ROUND(N23/I23,3),0))</f>
        <v/>
      </c>
    </row>
    <row r="24">
      <c r="B24" s="22" t="n"/>
      <c r="C24" s="22" t="n"/>
      <c r="D24" s="23" t="n"/>
      <c r="E24" s="24" t="n"/>
      <c r="F24" s="25" t="n"/>
      <c r="G24" s="26" t="n"/>
      <c r="H24" s="27" t="n"/>
      <c r="I24" s="13">
        <f>IF(D24="","",D24*IF(E24="Sí",2,1))</f>
        <v/>
      </c>
      <c r="J24" s="28">
        <f>IF(OR(I24="",C24=""),"",ROUND(I24*IFERROR(VLOOKUP(C24,Ajustes!$B$14:$D$18,3,FALSE),0)/100,2))</f>
        <v/>
      </c>
      <c r="K24" s="16">
        <f>IF(OR(I24="",C24=""),"",IFERROR(VLOOKUP(VLOOKUP(C24,Ajustes!$B$14:$C$18,2,FALSE),Ajustes!$B$6:$C$10,2,FALSE),0))</f>
        <v/>
      </c>
      <c r="L24" s="14">
        <f>IF(J24="","",ROUND(J24*K24,2))</f>
        <v/>
      </c>
      <c r="M24" s="14">
        <f>IF(I24="","",IF(F24="",0,F24)*IF(E24="Sí",2,1))</f>
        <v/>
      </c>
      <c r="N24" s="15">
        <f>IF(L24="","",L24+M24)</f>
        <v/>
      </c>
      <c r="O24" s="14">
        <f>IF(N24="","",ROUND(N24/IF(G24&gt;0,G24,1),2))</f>
        <v/>
      </c>
      <c r="P24" s="16">
        <f>IF(OR(N24="",I24=""),"",IF(I24&gt;0,ROUND(N24/I24,3),0))</f>
        <v/>
      </c>
    </row>
    <row r="25">
      <c r="B25" s="22" t="n"/>
      <c r="C25" s="22" t="n"/>
      <c r="D25" s="23" t="n"/>
      <c r="E25" s="24" t="n"/>
      <c r="F25" s="25" t="n"/>
      <c r="G25" s="26" t="n"/>
      <c r="H25" s="27" t="n"/>
      <c r="I25" s="13">
        <f>IF(D25="","",D25*IF(E25="Sí",2,1))</f>
        <v/>
      </c>
      <c r="J25" s="28">
        <f>IF(OR(I25="",C25=""),"",ROUND(I25*IFERROR(VLOOKUP(C25,Ajustes!$B$14:$D$18,3,FALSE),0)/100,2))</f>
        <v/>
      </c>
      <c r="K25" s="16">
        <f>IF(OR(I25="",C25=""),"",IFERROR(VLOOKUP(VLOOKUP(C25,Ajustes!$B$14:$C$18,2,FALSE),Ajustes!$B$6:$C$10,2,FALSE),0))</f>
        <v/>
      </c>
      <c r="L25" s="14">
        <f>IF(J25="","",ROUND(J25*K25,2))</f>
        <v/>
      </c>
      <c r="M25" s="14">
        <f>IF(I25="","",IF(F25="",0,F25)*IF(E25="Sí",2,1))</f>
        <v/>
      </c>
      <c r="N25" s="15">
        <f>IF(L25="","",L25+M25)</f>
        <v/>
      </c>
      <c r="O25" s="14">
        <f>IF(N25="","",ROUND(N25/IF(G25&gt;0,G25,1),2))</f>
        <v/>
      </c>
      <c r="P25" s="16">
        <f>IF(OR(N25="",I25=""),"",IF(I25&gt;0,ROUND(N25/I25,3),0))</f>
        <v/>
      </c>
    </row>
    <row r="26">
      <c r="B26" s="22" t="n"/>
      <c r="C26" s="22" t="n"/>
      <c r="D26" s="23" t="n"/>
      <c r="E26" s="24" t="n"/>
      <c r="F26" s="25" t="n"/>
      <c r="G26" s="26" t="n"/>
      <c r="H26" s="27" t="n"/>
      <c r="I26" s="13">
        <f>IF(D26="","",D26*IF(E26="Sí",2,1))</f>
        <v/>
      </c>
      <c r="J26" s="28">
        <f>IF(OR(I26="",C26=""),"",ROUND(I26*IFERROR(VLOOKUP(C26,Ajustes!$B$14:$D$18,3,FALSE),0)/100,2))</f>
        <v/>
      </c>
      <c r="K26" s="16">
        <f>IF(OR(I26="",C26=""),"",IFERROR(VLOOKUP(VLOOKUP(C26,Ajustes!$B$14:$C$18,2,FALSE),Ajustes!$B$6:$C$10,2,FALSE),0))</f>
        <v/>
      </c>
      <c r="L26" s="14">
        <f>IF(J26="","",ROUND(J26*K26,2))</f>
        <v/>
      </c>
      <c r="M26" s="14">
        <f>IF(I26="","",IF(F26="",0,F26)*IF(E26="Sí",2,1))</f>
        <v/>
      </c>
      <c r="N26" s="15">
        <f>IF(L26="","",L26+M26)</f>
        <v/>
      </c>
      <c r="O26" s="14">
        <f>IF(N26="","",ROUND(N26/IF(G26&gt;0,G26,1),2))</f>
        <v/>
      </c>
      <c r="P26" s="16">
        <f>IF(OR(N26="",I26=""),"",IF(I26&gt;0,ROUND(N26/I26,3),0))</f>
        <v/>
      </c>
    </row>
    <row r="27">
      <c r="B27" s="22" t="n"/>
      <c r="C27" s="22" t="n"/>
      <c r="D27" s="23" t="n"/>
      <c r="E27" s="24" t="n"/>
      <c r="F27" s="25" t="n"/>
      <c r="G27" s="26" t="n"/>
      <c r="H27" s="27" t="n"/>
      <c r="I27" s="13">
        <f>IF(D27="","",D27*IF(E27="Sí",2,1))</f>
        <v/>
      </c>
      <c r="J27" s="28">
        <f>IF(OR(I27="",C27=""),"",ROUND(I27*IFERROR(VLOOKUP(C27,Ajustes!$B$14:$D$18,3,FALSE),0)/100,2))</f>
        <v/>
      </c>
      <c r="K27" s="16">
        <f>IF(OR(I27="",C27=""),"",IFERROR(VLOOKUP(VLOOKUP(C27,Ajustes!$B$14:$C$18,2,FALSE),Ajustes!$B$6:$C$10,2,FALSE),0))</f>
        <v/>
      </c>
      <c r="L27" s="14">
        <f>IF(J27="","",ROUND(J27*K27,2))</f>
        <v/>
      </c>
      <c r="M27" s="14">
        <f>IF(I27="","",IF(F27="",0,F27)*IF(E27="Sí",2,1))</f>
        <v/>
      </c>
      <c r="N27" s="15">
        <f>IF(L27="","",L27+M27)</f>
        <v/>
      </c>
      <c r="O27" s="14">
        <f>IF(N27="","",ROUND(N27/IF(G27&gt;0,G27,1),2))</f>
        <v/>
      </c>
      <c r="P27" s="16">
        <f>IF(OR(N27="",I27=""),"",IF(I27&gt;0,ROUND(N27/I27,3),0))</f>
        <v/>
      </c>
    </row>
    <row r="28">
      <c r="B28" s="22" t="n"/>
      <c r="C28" s="22" t="n"/>
      <c r="D28" s="23" t="n"/>
      <c r="E28" s="24" t="n"/>
      <c r="F28" s="25" t="n"/>
      <c r="G28" s="26" t="n"/>
      <c r="H28" s="27" t="n"/>
      <c r="I28" s="13">
        <f>IF(D28="","",D28*IF(E28="Sí",2,1))</f>
        <v/>
      </c>
      <c r="J28" s="28">
        <f>IF(OR(I28="",C28=""),"",ROUND(I28*IFERROR(VLOOKUP(C28,Ajustes!$B$14:$D$18,3,FALSE),0)/100,2))</f>
        <v/>
      </c>
      <c r="K28" s="16">
        <f>IF(OR(I28="",C28=""),"",IFERROR(VLOOKUP(VLOOKUP(C28,Ajustes!$B$14:$C$18,2,FALSE),Ajustes!$B$6:$C$10,2,FALSE),0))</f>
        <v/>
      </c>
      <c r="L28" s="14">
        <f>IF(J28="","",ROUND(J28*K28,2))</f>
        <v/>
      </c>
      <c r="M28" s="14">
        <f>IF(I28="","",IF(F28="",0,F28)*IF(E28="Sí",2,1))</f>
        <v/>
      </c>
      <c r="N28" s="15">
        <f>IF(L28="","",L28+M28)</f>
        <v/>
      </c>
      <c r="O28" s="14">
        <f>IF(N28="","",ROUND(N28/IF(G28&gt;0,G28,1),2))</f>
        <v/>
      </c>
      <c r="P28" s="16">
        <f>IF(OR(N28="",I28=""),"",IF(I28&gt;0,ROUND(N28/I28,3),0))</f>
        <v/>
      </c>
    </row>
    <row r="29">
      <c r="B29" s="22" t="n"/>
      <c r="C29" s="22" t="n"/>
      <c r="D29" s="23" t="n"/>
      <c r="E29" s="24" t="n"/>
      <c r="F29" s="25" t="n"/>
      <c r="G29" s="26" t="n"/>
      <c r="H29" s="27" t="n"/>
      <c r="I29" s="13">
        <f>IF(D29="","",D29*IF(E29="Sí",2,1))</f>
        <v/>
      </c>
      <c r="J29" s="28">
        <f>IF(OR(I29="",C29=""),"",ROUND(I29*IFERROR(VLOOKUP(C29,Ajustes!$B$14:$D$18,3,FALSE),0)/100,2))</f>
        <v/>
      </c>
      <c r="K29" s="16">
        <f>IF(OR(I29="",C29=""),"",IFERROR(VLOOKUP(VLOOKUP(C29,Ajustes!$B$14:$C$18,2,FALSE),Ajustes!$B$6:$C$10,2,FALSE),0))</f>
        <v/>
      </c>
      <c r="L29" s="14">
        <f>IF(J29="","",ROUND(J29*K29,2))</f>
        <v/>
      </c>
      <c r="M29" s="14">
        <f>IF(I29="","",IF(F29="",0,F29)*IF(E29="Sí",2,1))</f>
        <v/>
      </c>
      <c r="N29" s="15">
        <f>IF(L29="","",L29+M29)</f>
        <v/>
      </c>
      <c r="O29" s="14">
        <f>IF(N29="","",ROUND(N29/IF(G29&gt;0,G29,1),2))</f>
        <v/>
      </c>
      <c r="P29" s="16">
        <f>IF(OR(N29="",I29=""),"",IF(I29&gt;0,ROUND(N29/I29,3),0))</f>
        <v/>
      </c>
    </row>
    <row r="30">
      <c r="B30" s="22" t="n"/>
      <c r="C30" s="22" t="n"/>
      <c r="D30" s="23" t="n"/>
      <c r="E30" s="24" t="n"/>
      <c r="F30" s="25" t="n"/>
      <c r="G30" s="26" t="n"/>
      <c r="H30" s="27" t="n"/>
      <c r="I30" s="13">
        <f>IF(D30="","",D30*IF(E30="Sí",2,1))</f>
        <v/>
      </c>
      <c r="J30" s="28">
        <f>IF(OR(I30="",C30=""),"",ROUND(I30*IFERROR(VLOOKUP(C30,Ajustes!$B$14:$D$18,3,FALSE),0)/100,2))</f>
        <v/>
      </c>
      <c r="K30" s="16">
        <f>IF(OR(I30="",C30=""),"",IFERROR(VLOOKUP(VLOOKUP(C30,Ajustes!$B$14:$C$18,2,FALSE),Ajustes!$B$6:$C$10,2,FALSE),0))</f>
        <v/>
      </c>
      <c r="L30" s="14">
        <f>IF(J30="","",ROUND(J30*K30,2))</f>
        <v/>
      </c>
      <c r="M30" s="14">
        <f>IF(I30="","",IF(F30="",0,F30)*IF(E30="Sí",2,1))</f>
        <v/>
      </c>
      <c r="N30" s="15">
        <f>IF(L30="","",L30+M30)</f>
        <v/>
      </c>
      <c r="O30" s="14">
        <f>IF(N30="","",ROUND(N30/IF(G30&gt;0,G30,1),2))</f>
        <v/>
      </c>
      <c r="P30" s="16">
        <f>IF(OR(N30="",I30=""),"",IF(I30&gt;0,ROUND(N30/I30,3),0))</f>
        <v/>
      </c>
    </row>
    <row r="31">
      <c r="B31" s="22" t="n"/>
      <c r="C31" s="22" t="n"/>
      <c r="D31" s="23" t="n"/>
      <c r="E31" s="24" t="n"/>
      <c r="F31" s="25" t="n"/>
      <c r="G31" s="26" t="n"/>
      <c r="H31" s="27" t="n"/>
      <c r="I31" s="13">
        <f>IF(D31="","",D31*IF(E31="Sí",2,1))</f>
        <v/>
      </c>
      <c r="J31" s="28">
        <f>IF(OR(I31="",C31=""),"",ROUND(I31*IFERROR(VLOOKUP(C31,Ajustes!$B$14:$D$18,3,FALSE),0)/100,2))</f>
        <v/>
      </c>
      <c r="K31" s="16">
        <f>IF(OR(I31="",C31=""),"",IFERROR(VLOOKUP(VLOOKUP(C31,Ajustes!$B$14:$C$18,2,FALSE),Ajustes!$B$6:$C$10,2,FALSE),0))</f>
        <v/>
      </c>
      <c r="L31" s="14">
        <f>IF(J31="","",ROUND(J31*K31,2))</f>
        <v/>
      </c>
      <c r="M31" s="14">
        <f>IF(I31="","",IF(F31="",0,F31)*IF(E31="Sí",2,1))</f>
        <v/>
      </c>
      <c r="N31" s="15">
        <f>IF(L31="","",L31+M31)</f>
        <v/>
      </c>
      <c r="O31" s="14">
        <f>IF(N31="","",ROUND(N31/IF(G31&gt;0,G31,1),2))</f>
        <v/>
      </c>
      <c r="P31" s="16">
        <f>IF(OR(N31="",I31=""),"",IF(I31&gt;0,ROUND(N31/I31,3),0))</f>
        <v/>
      </c>
    </row>
    <row r="32">
      <c r="B32" s="22" t="n"/>
      <c r="C32" s="22" t="n"/>
      <c r="D32" s="23" t="n"/>
      <c r="E32" s="24" t="n"/>
      <c r="F32" s="25" t="n"/>
      <c r="G32" s="26" t="n"/>
      <c r="H32" s="27" t="n"/>
      <c r="I32" s="13">
        <f>IF(D32="","",D32*IF(E32="Sí",2,1))</f>
        <v/>
      </c>
      <c r="J32" s="28">
        <f>IF(OR(I32="",C32=""),"",ROUND(I32*IFERROR(VLOOKUP(C32,Ajustes!$B$14:$D$18,3,FALSE),0)/100,2))</f>
        <v/>
      </c>
      <c r="K32" s="16">
        <f>IF(OR(I32="",C32=""),"",IFERROR(VLOOKUP(VLOOKUP(C32,Ajustes!$B$14:$C$18,2,FALSE),Ajustes!$B$6:$C$10,2,FALSE),0))</f>
        <v/>
      </c>
      <c r="L32" s="14">
        <f>IF(J32="","",ROUND(J32*K32,2))</f>
        <v/>
      </c>
      <c r="M32" s="14">
        <f>IF(I32="","",IF(F32="",0,F32)*IF(E32="Sí",2,1))</f>
        <v/>
      </c>
      <c r="N32" s="15">
        <f>IF(L32="","",L32+M32)</f>
        <v/>
      </c>
      <c r="O32" s="14">
        <f>IF(N32="","",ROUND(N32/IF(G32&gt;0,G32,1),2))</f>
        <v/>
      </c>
      <c r="P32" s="16">
        <f>IF(OR(N32="",I32=""),"",IF(I32&gt;0,ROUND(N32/I32,3),0))</f>
        <v/>
      </c>
    </row>
    <row r="33">
      <c r="B33" s="22" t="n"/>
      <c r="C33" s="22" t="n"/>
      <c r="D33" s="23" t="n"/>
      <c r="E33" s="24" t="n"/>
      <c r="F33" s="25" t="n"/>
      <c r="G33" s="26" t="n"/>
      <c r="H33" s="27" t="n"/>
      <c r="I33" s="13">
        <f>IF(D33="","",D33*IF(E33="Sí",2,1))</f>
        <v/>
      </c>
      <c r="J33" s="28">
        <f>IF(OR(I33="",C33=""),"",ROUND(I33*IFERROR(VLOOKUP(C33,Ajustes!$B$14:$D$18,3,FALSE),0)/100,2))</f>
        <v/>
      </c>
      <c r="K33" s="16">
        <f>IF(OR(I33="",C33=""),"",IFERROR(VLOOKUP(VLOOKUP(C33,Ajustes!$B$14:$C$18,2,FALSE),Ajustes!$B$6:$C$10,2,FALSE),0))</f>
        <v/>
      </c>
      <c r="L33" s="14">
        <f>IF(J33="","",ROUND(J33*K33,2))</f>
        <v/>
      </c>
      <c r="M33" s="14">
        <f>IF(I33="","",IF(F33="",0,F33)*IF(E33="Sí",2,1))</f>
        <v/>
      </c>
      <c r="N33" s="15">
        <f>IF(L33="","",L33+M33)</f>
        <v/>
      </c>
      <c r="O33" s="14">
        <f>IF(N33="","",ROUND(N33/IF(G33&gt;0,G33,1),2))</f>
        <v/>
      </c>
      <c r="P33" s="16">
        <f>IF(OR(N33="",I33=""),"",IF(I33&gt;0,ROUND(N33/I33,3),0))</f>
        <v/>
      </c>
    </row>
    <row r="34">
      <c r="B34" s="22" t="n"/>
      <c r="C34" s="22" t="n"/>
      <c r="D34" s="23" t="n"/>
      <c r="E34" s="24" t="n"/>
      <c r="F34" s="25" t="n"/>
      <c r="G34" s="26" t="n"/>
      <c r="H34" s="27" t="n"/>
      <c r="I34" s="13">
        <f>IF(D34="","",D34*IF(E34="Sí",2,1))</f>
        <v/>
      </c>
      <c r="J34" s="28">
        <f>IF(OR(I34="",C34=""),"",ROUND(I34*IFERROR(VLOOKUP(C34,Ajustes!$B$14:$D$18,3,FALSE),0)/100,2))</f>
        <v/>
      </c>
      <c r="K34" s="16">
        <f>IF(OR(I34="",C34=""),"",IFERROR(VLOOKUP(VLOOKUP(C34,Ajustes!$B$14:$C$18,2,FALSE),Ajustes!$B$6:$C$10,2,FALSE),0))</f>
        <v/>
      </c>
      <c r="L34" s="14">
        <f>IF(J34="","",ROUND(J34*K34,2))</f>
        <v/>
      </c>
      <c r="M34" s="14">
        <f>IF(I34="","",IF(F34="",0,F34)*IF(E34="Sí",2,1))</f>
        <v/>
      </c>
      <c r="N34" s="15">
        <f>IF(L34="","",L34+M34)</f>
        <v/>
      </c>
      <c r="O34" s="14">
        <f>IF(N34="","",ROUND(N34/IF(G34&gt;0,G34,1),2))</f>
        <v/>
      </c>
      <c r="P34" s="16">
        <f>IF(OR(N34="",I34=""),"",IF(I34&gt;0,ROUND(N34/I34,3),0))</f>
        <v/>
      </c>
    </row>
    <row r="35">
      <c r="B35" s="22" t="n"/>
      <c r="C35" s="22" t="n"/>
      <c r="D35" s="23" t="n"/>
      <c r="E35" s="24" t="n"/>
      <c r="F35" s="25" t="n"/>
      <c r="G35" s="26" t="n"/>
      <c r="H35" s="27" t="n"/>
      <c r="I35" s="13">
        <f>IF(D35="","",D35*IF(E35="Sí",2,1))</f>
        <v/>
      </c>
      <c r="J35" s="28">
        <f>IF(OR(I35="",C35=""),"",ROUND(I35*IFERROR(VLOOKUP(C35,Ajustes!$B$14:$D$18,3,FALSE),0)/100,2))</f>
        <v/>
      </c>
      <c r="K35" s="16">
        <f>IF(OR(I35="",C35=""),"",IFERROR(VLOOKUP(VLOOKUP(C35,Ajustes!$B$14:$C$18,2,FALSE),Ajustes!$B$6:$C$10,2,FALSE),0))</f>
        <v/>
      </c>
      <c r="L35" s="14">
        <f>IF(J35="","",ROUND(J35*K35,2))</f>
        <v/>
      </c>
      <c r="M35" s="14">
        <f>IF(I35="","",IF(F35="",0,F35)*IF(E35="Sí",2,1))</f>
        <v/>
      </c>
      <c r="N35" s="15">
        <f>IF(L35="","",L35+M35)</f>
        <v/>
      </c>
      <c r="O35" s="14">
        <f>IF(N35="","",ROUND(N35/IF(G35&gt;0,G35,1),2))</f>
        <v/>
      </c>
      <c r="P35" s="16">
        <f>IF(OR(N35="",I35=""),"",IF(I35&gt;0,ROUND(N35/I35,3),0))</f>
        <v/>
      </c>
    </row>
    <row r="36">
      <c r="B36" s="22" t="n"/>
      <c r="C36" s="22" t="n"/>
      <c r="D36" s="23" t="n"/>
      <c r="E36" s="24" t="n"/>
      <c r="F36" s="25" t="n"/>
      <c r="G36" s="26" t="n"/>
      <c r="H36" s="27" t="n"/>
      <c r="I36" s="13">
        <f>IF(D36="","",D36*IF(E36="Sí",2,1))</f>
        <v/>
      </c>
      <c r="J36" s="28">
        <f>IF(OR(I36="",C36=""),"",ROUND(I36*IFERROR(VLOOKUP(C36,Ajustes!$B$14:$D$18,3,FALSE),0)/100,2))</f>
        <v/>
      </c>
      <c r="K36" s="16">
        <f>IF(OR(I36="",C36=""),"",IFERROR(VLOOKUP(VLOOKUP(C36,Ajustes!$B$14:$C$18,2,FALSE),Ajustes!$B$6:$C$10,2,FALSE),0))</f>
        <v/>
      </c>
      <c r="L36" s="14">
        <f>IF(J36="","",ROUND(J36*K36,2))</f>
        <v/>
      </c>
      <c r="M36" s="14">
        <f>IF(I36="","",IF(F36="",0,F36)*IF(E36="Sí",2,1))</f>
        <v/>
      </c>
      <c r="N36" s="15">
        <f>IF(L36="","",L36+M36)</f>
        <v/>
      </c>
      <c r="O36" s="14">
        <f>IF(N36="","",ROUND(N36/IF(G36&gt;0,G36,1),2))</f>
        <v/>
      </c>
      <c r="P36" s="16">
        <f>IF(OR(N36="",I36=""),"",IF(I36&gt;0,ROUND(N36/I36,3),0))</f>
        <v/>
      </c>
    </row>
    <row r="37">
      <c r="B37" s="22" t="n"/>
      <c r="C37" s="22" t="n"/>
      <c r="D37" s="23" t="n"/>
      <c r="E37" s="24" t="n"/>
      <c r="F37" s="25" t="n"/>
      <c r="G37" s="26" t="n"/>
      <c r="H37" s="27" t="n"/>
      <c r="I37" s="13">
        <f>IF(D37="","",D37*IF(E37="Sí",2,1))</f>
        <v/>
      </c>
      <c r="J37" s="28">
        <f>IF(OR(I37="",C37=""),"",ROUND(I37*IFERROR(VLOOKUP(C37,Ajustes!$B$14:$D$18,3,FALSE),0)/100,2))</f>
        <v/>
      </c>
      <c r="K37" s="16">
        <f>IF(OR(I37="",C37=""),"",IFERROR(VLOOKUP(VLOOKUP(C37,Ajustes!$B$14:$C$18,2,FALSE),Ajustes!$B$6:$C$10,2,FALSE),0))</f>
        <v/>
      </c>
      <c r="L37" s="14">
        <f>IF(J37="","",ROUND(J37*K37,2))</f>
        <v/>
      </c>
      <c r="M37" s="14">
        <f>IF(I37="","",IF(F37="",0,F37)*IF(E37="Sí",2,1))</f>
        <v/>
      </c>
      <c r="N37" s="15">
        <f>IF(L37="","",L37+M37)</f>
        <v/>
      </c>
      <c r="O37" s="14">
        <f>IF(N37="","",ROUND(N37/IF(G37&gt;0,G37,1),2))</f>
        <v/>
      </c>
      <c r="P37" s="16">
        <f>IF(OR(N37="",I37=""),"",IF(I37&gt;0,ROUND(N37/I37,3),0))</f>
        <v/>
      </c>
    </row>
    <row r="38">
      <c r="B38" s="22" t="n"/>
      <c r="C38" s="22" t="n"/>
      <c r="D38" s="23" t="n"/>
      <c r="E38" s="24" t="n"/>
      <c r="F38" s="25" t="n"/>
      <c r="G38" s="26" t="n"/>
      <c r="H38" s="27" t="n"/>
      <c r="I38" s="13">
        <f>IF(D38="","",D38*IF(E38="Sí",2,1))</f>
        <v/>
      </c>
      <c r="J38" s="28">
        <f>IF(OR(I38="",C38=""),"",ROUND(I38*IFERROR(VLOOKUP(C38,Ajustes!$B$14:$D$18,3,FALSE),0)/100,2))</f>
        <v/>
      </c>
      <c r="K38" s="16">
        <f>IF(OR(I38="",C38=""),"",IFERROR(VLOOKUP(VLOOKUP(C38,Ajustes!$B$14:$C$18,2,FALSE),Ajustes!$B$6:$C$10,2,FALSE),0))</f>
        <v/>
      </c>
      <c r="L38" s="14">
        <f>IF(J38="","",ROUND(J38*K38,2))</f>
        <v/>
      </c>
      <c r="M38" s="14">
        <f>IF(I38="","",IF(F38="",0,F38)*IF(E38="Sí",2,1))</f>
        <v/>
      </c>
      <c r="N38" s="15">
        <f>IF(L38="","",L38+M38)</f>
        <v/>
      </c>
      <c r="O38" s="14">
        <f>IF(N38="","",ROUND(N38/IF(G38&gt;0,G38,1),2))</f>
        <v/>
      </c>
      <c r="P38" s="16">
        <f>IF(OR(N38="",I38=""),"",IF(I38&gt;0,ROUND(N38/I38,3),0))</f>
        <v/>
      </c>
    </row>
    <row r="39">
      <c r="B39" s="22" t="n"/>
      <c r="C39" s="22" t="n"/>
      <c r="D39" s="23" t="n"/>
      <c r="E39" s="24" t="n"/>
      <c r="F39" s="25" t="n"/>
      <c r="G39" s="26" t="n"/>
      <c r="H39" s="27" t="n"/>
      <c r="I39" s="13">
        <f>IF(D39="","",D39*IF(E39="Sí",2,1))</f>
        <v/>
      </c>
      <c r="J39" s="28">
        <f>IF(OR(I39="",C39=""),"",ROUND(I39*IFERROR(VLOOKUP(C39,Ajustes!$B$14:$D$18,3,FALSE),0)/100,2))</f>
        <v/>
      </c>
      <c r="K39" s="16">
        <f>IF(OR(I39="",C39=""),"",IFERROR(VLOOKUP(VLOOKUP(C39,Ajustes!$B$14:$C$18,2,FALSE),Ajustes!$B$6:$C$10,2,FALSE),0))</f>
        <v/>
      </c>
      <c r="L39" s="14">
        <f>IF(J39="","",ROUND(J39*K39,2))</f>
        <v/>
      </c>
      <c r="M39" s="14">
        <f>IF(I39="","",IF(F39="",0,F39)*IF(E39="Sí",2,1))</f>
        <v/>
      </c>
      <c r="N39" s="15">
        <f>IF(L39="","",L39+M39)</f>
        <v/>
      </c>
      <c r="O39" s="14">
        <f>IF(N39="","",ROUND(N39/IF(G39&gt;0,G39,1),2))</f>
        <v/>
      </c>
      <c r="P39" s="16">
        <f>IF(OR(N39="",I39=""),"",IF(I39&gt;0,ROUND(N39/I39,3),0))</f>
        <v/>
      </c>
    </row>
    <row r="40">
      <c r="B40" s="22" t="n"/>
      <c r="C40" s="22" t="n"/>
      <c r="D40" s="23" t="n"/>
      <c r="E40" s="24" t="n"/>
      <c r="F40" s="25" t="n"/>
      <c r="G40" s="26" t="n"/>
      <c r="H40" s="27" t="n"/>
      <c r="I40" s="13">
        <f>IF(D40="","",D40*IF(E40="Sí",2,1))</f>
        <v/>
      </c>
      <c r="J40" s="28">
        <f>IF(OR(I40="",C40=""),"",ROUND(I40*IFERROR(VLOOKUP(C40,Ajustes!$B$14:$D$18,3,FALSE),0)/100,2))</f>
        <v/>
      </c>
      <c r="K40" s="16">
        <f>IF(OR(I40="",C40=""),"",IFERROR(VLOOKUP(VLOOKUP(C40,Ajustes!$B$14:$C$18,2,FALSE),Ajustes!$B$6:$C$10,2,FALSE),0))</f>
        <v/>
      </c>
      <c r="L40" s="14">
        <f>IF(J40="","",ROUND(J40*K40,2))</f>
        <v/>
      </c>
      <c r="M40" s="14">
        <f>IF(I40="","",IF(F40="",0,F40)*IF(E40="Sí",2,1))</f>
        <v/>
      </c>
      <c r="N40" s="15">
        <f>IF(L40="","",L40+M40)</f>
        <v/>
      </c>
      <c r="O40" s="14">
        <f>IF(N40="","",ROUND(N40/IF(G40&gt;0,G40,1),2))</f>
        <v/>
      </c>
      <c r="P40" s="16">
        <f>IF(OR(N40="",I40=""),"",IF(I40&gt;0,ROUND(N40/I40,3),0))</f>
        <v/>
      </c>
    </row>
    <row r="41">
      <c r="B41" s="22" t="n"/>
      <c r="C41" s="22" t="n"/>
      <c r="D41" s="23" t="n"/>
      <c r="E41" s="24" t="n"/>
      <c r="F41" s="25" t="n"/>
      <c r="G41" s="26" t="n"/>
      <c r="H41" s="27" t="n"/>
      <c r="I41" s="13">
        <f>IF(D41="","",D41*IF(E41="Sí",2,1))</f>
        <v/>
      </c>
      <c r="J41" s="28">
        <f>IF(OR(I41="",C41=""),"",ROUND(I41*IFERROR(VLOOKUP(C41,Ajustes!$B$14:$D$18,3,FALSE),0)/100,2))</f>
        <v/>
      </c>
      <c r="K41" s="16">
        <f>IF(OR(I41="",C41=""),"",IFERROR(VLOOKUP(VLOOKUP(C41,Ajustes!$B$14:$C$18,2,FALSE),Ajustes!$B$6:$C$10,2,FALSE),0))</f>
        <v/>
      </c>
      <c r="L41" s="14">
        <f>IF(J41="","",ROUND(J41*K41,2))</f>
        <v/>
      </c>
      <c r="M41" s="14">
        <f>IF(I41="","",IF(F41="",0,F41)*IF(E41="Sí",2,1))</f>
        <v/>
      </c>
      <c r="N41" s="15">
        <f>IF(L41="","",L41+M41)</f>
        <v/>
      </c>
      <c r="O41" s="14">
        <f>IF(N41="","",ROUND(N41/IF(G41&gt;0,G41,1),2))</f>
        <v/>
      </c>
      <c r="P41" s="16">
        <f>IF(OR(N41="",I41=""),"",IF(I41&gt;0,ROUND(N41/I41,3),0))</f>
        <v/>
      </c>
    </row>
    <row r="42">
      <c r="B42" s="22" t="n"/>
      <c r="C42" s="22" t="n"/>
      <c r="D42" s="23" t="n"/>
      <c r="E42" s="24" t="n"/>
      <c r="F42" s="25" t="n"/>
      <c r="G42" s="26" t="n"/>
      <c r="H42" s="27" t="n"/>
      <c r="I42" s="13">
        <f>IF(D42="","",D42*IF(E42="Sí",2,1))</f>
        <v/>
      </c>
      <c r="J42" s="28">
        <f>IF(OR(I42="",C42=""),"",ROUND(I42*IFERROR(VLOOKUP(C42,Ajustes!$B$14:$D$18,3,FALSE),0)/100,2))</f>
        <v/>
      </c>
      <c r="K42" s="16">
        <f>IF(OR(I42="",C42=""),"",IFERROR(VLOOKUP(VLOOKUP(C42,Ajustes!$B$14:$C$18,2,FALSE),Ajustes!$B$6:$C$10,2,FALSE),0))</f>
        <v/>
      </c>
      <c r="L42" s="14">
        <f>IF(J42="","",ROUND(J42*K42,2))</f>
        <v/>
      </c>
      <c r="M42" s="14">
        <f>IF(I42="","",IF(F42="",0,F42)*IF(E42="Sí",2,1))</f>
        <v/>
      </c>
      <c r="N42" s="15">
        <f>IF(L42="","",L42+M42)</f>
        <v/>
      </c>
      <c r="O42" s="14">
        <f>IF(N42="","",ROUND(N42/IF(G42&gt;0,G42,1),2))</f>
        <v/>
      </c>
      <c r="P42" s="16">
        <f>IF(OR(N42="",I42=""),"",IF(I42&gt;0,ROUND(N42/I42,3),0))</f>
        <v/>
      </c>
    </row>
    <row r="43">
      <c r="B43" s="22" t="n"/>
      <c r="C43" s="22" t="n"/>
      <c r="D43" s="23" t="n"/>
      <c r="E43" s="24" t="n"/>
      <c r="F43" s="25" t="n"/>
      <c r="G43" s="26" t="n"/>
      <c r="H43" s="27" t="n"/>
      <c r="I43" s="13">
        <f>IF(D43="","",D43*IF(E43="Sí",2,1))</f>
        <v/>
      </c>
      <c r="J43" s="28">
        <f>IF(OR(I43="",C43=""),"",ROUND(I43*IFERROR(VLOOKUP(C43,Ajustes!$B$14:$D$18,3,FALSE),0)/100,2))</f>
        <v/>
      </c>
      <c r="K43" s="16">
        <f>IF(OR(I43="",C43=""),"",IFERROR(VLOOKUP(VLOOKUP(C43,Ajustes!$B$14:$C$18,2,FALSE),Ajustes!$B$6:$C$10,2,FALSE),0))</f>
        <v/>
      </c>
      <c r="L43" s="14">
        <f>IF(J43="","",ROUND(J43*K43,2))</f>
        <v/>
      </c>
      <c r="M43" s="14">
        <f>IF(I43="","",IF(F43="",0,F43)*IF(E43="Sí",2,1))</f>
        <v/>
      </c>
      <c r="N43" s="15">
        <f>IF(L43="","",L43+M43)</f>
        <v/>
      </c>
      <c r="O43" s="14">
        <f>IF(N43="","",ROUND(N43/IF(G43&gt;0,G43,1),2))</f>
        <v/>
      </c>
      <c r="P43" s="16">
        <f>IF(OR(N43="",I43=""),"",IF(I43&gt;0,ROUND(N43/I43,3),0))</f>
        <v/>
      </c>
    </row>
    <row r="44">
      <c r="B44" s="22" t="n"/>
      <c r="C44" s="22" t="n"/>
      <c r="D44" s="23" t="n"/>
      <c r="E44" s="24" t="n"/>
      <c r="F44" s="25" t="n"/>
      <c r="G44" s="26" t="n"/>
      <c r="H44" s="27" t="n"/>
      <c r="I44" s="13">
        <f>IF(D44="","",D44*IF(E44="Sí",2,1))</f>
        <v/>
      </c>
      <c r="J44" s="28">
        <f>IF(OR(I44="",C44=""),"",ROUND(I44*IFERROR(VLOOKUP(C44,Ajustes!$B$14:$D$18,3,FALSE),0)/100,2))</f>
        <v/>
      </c>
      <c r="K44" s="16">
        <f>IF(OR(I44="",C44=""),"",IFERROR(VLOOKUP(VLOOKUP(C44,Ajustes!$B$14:$C$18,2,FALSE),Ajustes!$B$6:$C$10,2,FALSE),0))</f>
        <v/>
      </c>
      <c r="L44" s="14">
        <f>IF(J44="","",ROUND(J44*K44,2))</f>
        <v/>
      </c>
      <c r="M44" s="14">
        <f>IF(I44="","",IF(F44="",0,F44)*IF(E44="Sí",2,1))</f>
        <v/>
      </c>
      <c r="N44" s="15">
        <f>IF(L44="","",L44+M44)</f>
        <v/>
      </c>
      <c r="O44" s="14">
        <f>IF(N44="","",ROUND(N44/IF(G44&gt;0,G44,1),2))</f>
        <v/>
      </c>
      <c r="P44" s="16">
        <f>IF(OR(N44="",I44=""),"",IF(I44&gt;0,ROUND(N44/I44,3),0))</f>
        <v/>
      </c>
    </row>
    <row r="45">
      <c r="B45" s="22" t="n"/>
      <c r="C45" s="22" t="n"/>
      <c r="D45" s="23" t="n"/>
      <c r="E45" s="24" t="n"/>
      <c r="F45" s="25" t="n"/>
      <c r="G45" s="26" t="n"/>
      <c r="H45" s="27" t="n"/>
      <c r="I45" s="13">
        <f>IF(D45="","",D45*IF(E45="Sí",2,1))</f>
        <v/>
      </c>
      <c r="J45" s="28">
        <f>IF(OR(I45="",C45=""),"",ROUND(I45*IFERROR(VLOOKUP(C45,Ajustes!$B$14:$D$18,3,FALSE),0)/100,2))</f>
        <v/>
      </c>
      <c r="K45" s="16">
        <f>IF(OR(I45="",C45=""),"",IFERROR(VLOOKUP(VLOOKUP(C45,Ajustes!$B$14:$C$18,2,FALSE),Ajustes!$B$6:$C$10,2,FALSE),0))</f>
        <v/>
      </c>
      <c r="L45" s="14">
        <f>IF(J45="","",ROUND(J45*K45,2))</f>
        <v/>
      </c>
      <c r="M45" s="14">
        <f>IF(I45="","",IF(F45="",0,F45)*IF(E45="Sí",2,1))</f>
        <v/>
      </c>
      <c r="N45" s="15">
        <f>IF(L45="","",L45+M45)</f>
        <v/>
      </c>
      <c r="O45" s="14">
        <f>IF(N45="","",ROUND(N45/IF(G45&gt;0,G45,1),2))</f>
        <v/>
      </c>
      <c r="P45" s="16">
        <f>IF(OR(N45="",I45=""),"",IF(I45&gt;0,ROUND(N45/I45,3),0))</f>
        <v/>
      </c>
    </row>
    <row r="46">
      <c r="B46" s="22" t="n"/>
      <c r="C46" s="22" t="n"/>
      <c r="D46" s="23" t="n"/>
      <c r="E46" s="24" t="n"/>
      <c r="F46" s="25" t="n"/>
      <c r="G46" s="26" t="n"/>
      <c r="H46" s="27" t="n"/>
      <c r="I46" s="13">
        <f>IF(D46="","",D46*IF(E46="Sí",2,1))</f>
        <v/>
      </c>
      <c r="J46" s="28">
        <f>IF(OR(I46="",C46=""),"",ROUND(I46*IFERROR(VLOOKUP(C46,Ajustes!$B$14:$D$18,3,FALSE),0)/100,2))</f>
        <v/>
      </c>
      <c r="K46" s="16">
        <f>IF(OR(I46="",C46=""),"",IFERROR(VLOOKUP(VLOOKUP(C46,Ajustes!$B$14:$C$18,2,FALSE),Ajustes!$B$6:$C$10,2,FALSE),0))</f>
        <v/>
      </c>
      <c r="L46" s="14">
        <f>IF(J46="","",ROUND(J46*K46,2))</f>
        <v/>
      </c>
      <c r="M46" s="14">
        <f>IF(I46="","",IF(F46="",0,F46)*IF(E46="Sí",2,1))</f>
        <v/>
      </c>
      <c r="N46" s="15">
        <f>IF(L46="","",L46+M46)</f>
        <v/>
      </c>
      <c r="O46" s="14">
        <f>IF(N46="","",ROUND(N46/IF(G46&gt;0,G46,1),2))</f>
        <v/>
      </c>
      <c r="P46" s="16">
        <f>IF(OR(N46="",I46=""),"",IF(I46&gt;0,ROUND(N46/I46,3),0))</f>
        <v/>
      </c>
    </row>
    <row r="47">
      <c r="B47" s="4" t="inlineStr">
        <is>
          <t>TOTAL</t>
        </is>
      </c>
      <c r="I47" s="17">
        <f>SUM(I7:I46)</f>
        <v/>
      </c>
      <c r="J47" s="29">
        <f>SUM(J7:J46)</f>
        <v/>
      </c>
      <c r="L47" s="18">
        <f>SUM(L7:L46)</f>
        <v/>
      </c>
      <c r="M47" s="18">
        <f>SUM(M7:M46)</f>
        <v/>
      </c>
      <c r="N47" s="18">
        <f>SUM(N7:N46)</f>
        <v/>
      </c>
      <c r="P47" s="19">
        <f>IF(I47&gt;0,ROUND(N47/I47,3),0)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N7:N46">
    <cfRule type="dataBar" priority="1">
      <dataBar>
        <cfvo type="num" val="0"/>
        <cfvo type="max"/>
        <color rgb="0010B981"/>
      </dataBar>
    </cfRule>
  </conditionalFormatting>
  <conditionalFormatting sqref="B7:B46">
    <cfRule type="expression" priority="2" dxfId="1">
      <formula>MOD(ROW(),2)=0</formula>
    </cfRule>
  </conditionalFormatting>
  <conditionalFormatting sqref="P7:P46">
    <cfRule type="expression" priority="3" dxfId="0">
      <formula>AND(ISNUMBER($P7),$P7&gt;0.25)</formula>
    </cfRule>
  </conditionalFormatting>
  <dataValidations count="2">
    <dataValidation sqref="C7:C46" showDropDown="0" showInputMessage="0" showErrorMessage="0" allowBlank="1" type="list">
      <formula1>=Ajustes!$B$14:$B$18</formula1>
    </dataValidation>
    <dataValidation sqref="E7:E46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4" customWidth="1" min="4" max="4"/>
    <col width="14" customWidth="1" min="5" max="5"/>
    <col width="26" customWidth="1" min="6" max="6"/>
    <col width="14" customWidth="1" min="7" max="7"/>
    <col width="13" customWidth="1" min="8" max="8"/>
    <col width="13" customWidth="1" min="9" max="9"/>
    <col width="13" customWidth="1" min="10" max="10"/>
    <col width="11" customWidth="1" min="11" max="11"/>
  </cols>
  <sheetData>
    <row r="2" ht="34" customHeight="1">
      <c r="B2" s="1" t="inlineStr">
        <is>
          <t>Comparativa de vehículos y alternativas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misma ruta calculada con cada vehículo, y el coche frente al tren, el bus o el avión</t>
        </is>
      </c>
    </row>
    <row r="5">
      <c r="B5" s="30" t="inlineStr">
        <is>
          <t>Km de la ruta (un sentido)</t>
        </is>
      </c>
      <c r="C5" s="31" t="n">
        <v>520</v>
      </c>
    </row>
    <row r="6">
      <c r="B6" s="30" t="inlineStr">
        <is>
          <t>¿Ida y vuelta?</t>
        </is>
      </c>
      <c r="C6" s="24" t="inlineStr">
        <is>
          <t>Sí</t>
        </is>
      </c>
    </row>
    <row r="7">
      <c r="B7" s="30" t="inlineStr">
        <is>
          <t>Peajes por sentido (€)</t>
        </is>
      </c>
      <c r="C7" s="25" t="n">
        <v>31.5</v>
      </c>
    </row>
    <row r="8">
      <c r="B8" s="30" t="inlineStr">
        <is>
          <t>Personas que viajan</t>
        </is>
      </c>
      <c r="C8" s="31" t="n">
        <v>4</v>
      </c>
    </row>
    <row r="9">
      <c r="B9" s="30" t="inlineStr">
        <is>
          <t>Vehículo a comparar con otras opciones</t>
        </is>
      </c>
      <c r="C9" s="22" t="inlineStr">
        <is>
          <t>SUV familiar diésel</t>
        </is>
      </c>
      <c r="D9" s="32" t="n"/>
    </row>
    <row r="11" ht="32" customHeight="1">
      <c r="B11" s="11" t="inlineStr">
        <is>
          <t>Vehículo</t>
        </is>
      </c>
      <c r="C11" s="11" t="inlineStr">
        <is>
          <t>Combustible</t>
        </is>
      </c>
      <c r="D11" s="11" t="inlineStr">
        <is>
          <t>Consumo l/100 km</t>
        </is>
      </c>
      <c r="E11" s="11" t="inlineStr">
        <is>
          <t>Km totales</t>
        </is>
      </c>
      <c r="F11" s="11" t="inlineStr">
        <is>
          <t>Litros</t>
        </is>
      </c>
      <c r="G11" s="11" t="inlineStr">
        <is>
          <t>Combustible</t>
        </is>
      </c>
      <c r="H11" s="11" t="inlineStr">
        <is>
          <t>Peajes</t>
        </is>
      </c>
      <c r="I11" s="11" t="inlineStr">
        <is>
          <t>Coste total</t>
        </is>
      </c>
      <c r="J11" s="11" t="inlineStr">
        <is>
          <t>Por persona</t>
        </is>
      </c>
      <c r="K11" s="11" t="inlineStr">
        <is>
          <t>€/km</t>
        </is>
      </c>
    </row>
    <row r="12">
      <c r="B12" s="12">
        <f>IF(Ajustes!B14="","",Ajustes!B14)</f>
        <v/>
      </c>
      <c r="C12" s="12">
        <f>IF(B12="","",Ajustes!C14)</f>
        <v/>
      </c>
      <c r="D12" s="33">
        <f>IF(B12="","",Ajustes!D14)</f>
        <v/>
      </c>
      <c r="E12" s="13">
        <f>IF(B12="","",$C$5*IF($C$6="Sí",2,1))</f>
        <v/>
      </c>
      <c r="F12" s="28">
        <f>IF(B12="","",ROUND(E12*D12/100,2))</f>
        <v/>
      </c>
      <c r="G12" s="14">
        <f>IF(B12="","",ROUND(F12*IFERROR(VLOOKUP(C12,Ajustes!$B$6:$C$10,2,FALSE),0),2))</f>
        <v/>
      </c>
      <c r="H12" s="14">
        <f>IF(B12="","",$C$7*IF($C$6="Sí",2,1))</f>
        <v/>
      </c>
      <c r="I12" s="15">
        <f>IF(B12="","",G12+H12)</f>
        <v/>
      </c>
      <c r="J12" s="14">
        <f>IF(B12="","",ROUND(I12/IF($C$8&gt;0,$C$8,1),2))</f>
        <v/>
      </c>
      <c r="K12" s="16">
        <f>IF(B12="","",IF(E12&gt;0,ROUND(I12/E12,3),0))</f>
        <v/>
      </c>
    </row>
    <row r="13">
      <c r="B13" s="12">
        <f>IF(Ajustes!B15="","",Ajustes!B15)</f>
        <v/>
      </c>
      <c r="C13" s="12">
        <f>IF(B13="","",Ajustes!C15)</f>
        <v/>
      </c>
      <c r="D13" s="33">
        <f>IF(B13="","",Ajustes!D15)</f>
        <v/>
      </c>
      <c r="E13" s="13">
        <f>IF(B13="","",$C$5*IF($C$6="Sí",2,1))</f>
        <v/>
      </c>
      <c r="F13" s="28">
        <f>IF(B13="","",ROUND(E13*D13/100,2))</f>
        <v/>
      </c>
      <c r="G13" s="14">
        <f>IF(B13="","",ROUND(F13*IFERROR(VLOOKUP(C13,Ajustes!$B$6:$C$10,2,FALSE),0),2))</f>
        <v/>
      </c>
      <c r="H13" s="14">
        <f>IF(B13="","",$C$7*IF($C$6="Sí",2,1))</f>
        <v/>
      </c>
      <c r="I13" s="15">
        <f>IF(B13="","",G13+H13)</f>
        <v/>
      </c>
      <c r="J13" s="14">
        <f>IF(B13="","",ROUND(I13/IF($C$8&gt;0,$C$8,1),2))</f>
        <v/>
      </c>
      <c r="K13" s="16">
        <f>IF(B13="","",IF(E13&gt;0,ROUND(I13/E13,3),0))</f>
        <v/>
      </c>
    </row>
    <row r="14">
      <c r="B14" s="12">
        <f>IF(Ajustes!B16="","",Ajustes!B16)</f>
        <v/>
      </c>
      <c r="C14" s="12">
        <f>IF(B14="","",Ajustes!C16)</f>
        <v/>
      </c>
      <c r="D14" s="33">
        <f>IF(B14="","",Ajustes!D16)</f>
        <v/>
      </c>
      <c r="E14" s="13">
        <f>IF(B14="","",$C$5*IF($C$6="Sí",2,1))</f>
        <v/>
      </c>
      <c r="F14" s="28">
        <f>IF(B14="","",ROUND(E14*D14/100,2))</f>
        <v/>
      </c>
      <c r="G14" s="14">
        <f>IF(B14="","",ROUND(F14*IFERROR(VLOOKUP(C14,Ajustes!$B$6:$C$10,2,FALSE),0),2))</f>
        <v/>
      </c>
      <c r="H14" s="14">
        <f>IF(B14="","",$C$7*IF($C$6="Sí",2,1))</f>
        <v/>
      </c>
      <c r="I14" s="15">
        <f>IF(B14="","",G14+H14)</f>
        <v/>
      </c>
      <c r="J14" s="14">
        <f>IF(B14="","",ROUND(I14/IF($C$8&gt;0,$C$8,1),2))</f>
        <v/>
      </c>
      <c r="K14" s="16">
        <f>IF(B14="","",IF(E14&gt;0,ROUND(I14/E14,3),0))</f>
        <v/>
      </c>
    </row>
    <row r="15">
      <c r="B15" s="12">
        <f>IF(Ajustes!B17="","",Ajustes!B17)</f>
        <v/>
      </c>
      <c r="C15" s="12">
        <f>IF(B15="","",Ajustes!C17)</f>
        <v/>
      </c>
      <c r="D15" s="33">
        <f>IF(B15="","",Ajustes!D17)</f>
        <v/>
      </c>
      <c r="E15" s="13">
        <f>IF(B15="","",$C$5*IF($C$6="Sí",2,1))</f>
        <v/>
      </c>
      <c r="F15" s="28">
        <f>IF(B15="","",ROUND(E15*D15/100,2))</f>
        <v/>
      </c>
      <c r="G15" s="14">
        <f>IF(B15="","",ROUND(F15*IFERROR(VLOOKUP(C15,Ajustes!$B$6:$C$10,2,FALSE),0),2))</f>
        <v/>
      </c>
      <c r="H15" s="14">
        <f>IF(B15="","",$C$7*IF($C$6="Sí",2,1))</f>
        <v/>
      </c>
      <c r="I15" s="15">
        <f>IF(B15="","",G15+H15)</f>
        <v/>
      </c>
      <c r="J15" s="14">
        <f>IF(B15="","",ROUND(I15/IF($C$8&gt;0,$C$8,1),2))</f>
        <v/>
      </c>
      <c r="K15" s="16">
        <f>IF(B15="","",IF(E15&gt;0,ROUND(I15/E15,3),0))</f>
        <v/>
      </c>
    </row>
    <row r="16">
      <c r="B16" s="12">
        <f>IF(Ajustes!B18="","",Ajustes!B18)</f>
        <v/>
      </c>
      <c r="C16" s="12">
        <f>IF(B16="","",Ajustes!C18)</f>
        <v/>
      </c>
      <c r="D16" s="33">
        <f>IF(B16="","",Ajustes!D18)</f>
        <v/>
      </c>
      <c r="E16" s="13">
        <f>IF(B16="","",$C$5*IF($C$6="Sí",2,1))</f>
        <v/>
      </c>
      <c r="F16" s="28">
        <f>IF(B16="","",ROUND(E16*D16/100,2))</f>
        <v/>
      </c>
      <c r="G16" s="14">
        <f>IF(B16="","",ROUND(F16*IFERROR(VLOOKUP(C16,Ajustes!$B$6:$C$10,2,FALSE),0),2))</f>
        <v/>
      </c>
      <c r="H16" s="14">
        <f>IF(B16="","",$C$7*IF($C$6="Sí",2,1))</f>
        <v/>
      </c>
      <c r="I16" s="15">
        <f>IF(B16="","",G16+H16)</f>
        <v/>
      </c>
      <c r="J16" s="14">
        <f>IF(B16="","",ROUND(I16/IF($C$8&gt;0,$C$8,1),2))</f>
        <v/>
      </c>
      <c r="K16" s="16">
        <f>IF(B16="","",IF(E16&gt;0,ROUND(I16/E16,3),0))</f>
        <v/>
      </c>
    </row>
    <row r="17">
      <c r="B17" s="21" t="inlineStr">
        <is>
          <t>En verde, la opción más barata. Los peajes se aplican igual a todos los vehículos (cámbialos si tu moto o furgoneta pagan distinto).</t>
        </is>
      </c>
    </row>
    <row r="19">
      <c r="B19" s="10" t="inlineStr">
        <is>
          <t>EL COCHE FRENTE A OTRAS OPCIONES</t>
        </is>
      </c>
    </row>
    <row r="20">
      <c r="B20" s="30" t="inlineStr">
        <is>
          <t>Coste total del vehículo elegido</t>
        </is>
      </c>
      <c r="C20" s="18">
        <f>IFERROR(INDEX($I$12:$I$16,MATCH($C$9,$B$12:$B$16,0)),0)</f>
        <v/>
      </c>
      <c r="D20" s="34" t="inlineStr">
        <is>
          <t>Por persona</t>
        </is>
      </c>
      <c r="E20" s="18">
        <f>IFERROR(INDEX($J$12:$J$16,MATCH($C$9,$B$12:$B$16,0)),0)</f>
        <v/>
      </c>
    </row>
    <row r="22" ht="32" customHeight="1">
      <c r="B22" s="11" t="inlineStr">
        <is>
          <t>Alternativa</t>
        </is>
      </c>
      <c r="C22" s="11" t="inlineStr">
        <is>
          <t>Precio por persona</t>
        </is>
      </c>
      <c r="D22" s="11" t="inlineStr">
        <is>
          <t>Coste del grupo</t>
        </is>
      </c>
      <c r="E22" s="11" t="inlineStr">
        <is>
          <t>Diferencia con el coche</t>
        </is>
      </c>
      <c r="F22" s="11" t="inlineStr">
        <is>
          <t>Veredicto</t>
        </is>
      </c>
    </row>
    <row r="23">
      <c r="B23" s="22" t="inlineStr">
        <is>
          <t>Tren</t>
        </is>
      </c>
      <c r="C23" s="25" t="n">
        <v>68</v>
      </c>
      <c r="D23" s="14">
        <f>IF(OR(B23="",C23=""),"",C23*$C$8)</f>
        <v/>
      </c>
      <c r="E23" s="15">
        <f>IF(D23="","",D23-$C$20)</f>
        <v/>
      </c>
      <c r="F23" s="12">
        <f>IF(E23="","",IF(E23&gt;0,"El coche sale más barato","Sale mejor: "&amp;B23))</f>
        <v/>
      </c>
    </row>
    <row r="24">
      <c r="B24" s="22" t="inlineStr">
        <is>
          <t>Autobús</t>
        </is>
      </c>
      <c r="C24" s="25" t="n">
        <v>41</v>
      </c>
      <c r="D24" s="14">
        <f>IF(OR(B24="",C24=""),"",C24*$C$8)</f>
        <v/>
      </c>
      <c r="E24" s="15">
        <f>IF(D24="","",D24-$C$20)</f>
        <v/>
      </c>
      <c r="F24" s="12">
        <f>IF(E24="","",IF(E24&gt;0,"El coche sale más barato","Sale mejor: "&amp;B24))</f>
        <v/>
      </c>
    </row>
    <row r="25">
      <c r="B25" s="22" t="inlineStr">
        <is>
          <t>Avión (con traslados)</t>
        </is>
      </c>
      <c r="C25" s="25" t="n">
        <v>112</v>
      </c>
      <c r="D25" s="14">
        <f>IF(OR(B25="",C25=""),"",C25*$C$8)</f>
        <v/>
      </c>
      <c r="E25" s="15">
        <f>IF(D25="","",D25-$C$20)</f>
        <v/>
      </c>
      <c r="F25" s="12">
        <f>IF(E25="","",IF(E25&gt;0,"El coche sale más barato","Sale mejor: "&amp;B25))</f>
        <v/>
      </c>
    </row>
    <row r="26">
      <c r="B26" s="22" t="inlineStr">
        <is>
          <t>Coche compartido</t>
        </is>
      </c>
      <c r="C26" s="25" t="n">
        <v>24</v>
      </c>
      <c r="D26" s="14">
        <f>IF(OR(B26="",C26=""),"",C26*$C$8)</f>
        <v/>
      </c>
      <c r="E26" s="15">
        <f>IF(D26="","",D26-$C$20)</f>
        <v/>
      </c>
      <c r="F26" s="12">
        <f>IF(E26="","",IF(E26&gt;0,"El coche sale más barato","Sale mejor: "&amp;B26))</f>
        <v/>
      </c>
    </row>
    <row r="27">
      <c r="B27" s="22" t="n"/>
      <c r="C27" s="25" t="n"/>
      <c r="D27" s="14">
        <f>IF(OR(B27="",C27=""),"",C27*$C$8)</f>
        <v/>
      </c>
      <c r="E27" s="15">
        <f>IF(D27="","",D27-$C$20)</f>
        <v/>
      </c>
      <c r="F27" s="12">
        <f>IF(E27="","",IF(E27&gt;0,"El coche sale más barato","Sale mejor: "&amp;B27))</f>
        <v/>
      </c>
    </row>
    <row r="28">
      <c r="B28" s="22" t="n"/>
      <c r="C28" s="25" t="n"/>
      <c r="D28" s="14">
        <f>IF(OR(B28="",C28=""),"",C28*$C$8)</f>
        <v/>
      </c>
      <c r="E28" s="15">
        <f>IF(D28="","",D28-$C$20)</f>
        <v/>
      </c>
      <c r="F28" s="12">
        <f>IF(E28="","",IF(E28&gt;0,"El coche sale más barato","Sale mejor: "&amp;B28))</f>
        <v/>
      </c>
    </row>
    <row r="29">
      <c r="B29" s="21" t="inlineStr">
        <is>
          <t>Precio por persona = billete del trayecto completo (ida y vuelta si lo has marcado arriba). Diferencia positiva: el coche te ahorra dinero.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C9:D9"/>
    <mergeCell ref="B3:K3"/>
    <mergeCell ref="B2:K2"/>
  </mergeCells>
  <conditionalFormatting sqref="B12:K16">
    <cfRule type="expression" priority="1" dxfId="2">
      <formula>AND($I12&lt;&gt;"",$I12=MIN($I$12:$I$16))</formula>
    </cfRule>
  </conditionalFormatting>
  <conditionalFormatting sqref="E23:E28">
    <cfRule type="expression" priority="2" dxfId="2">
      <formula>AND(ISNUMBER($E23),$E23&gt;0)</formula>
    </cfRule>
    <cfRule type="expression" priority="3" dxfId="0">
      <formula>AND(ISNUMBER($E23),$E23&lt;=0)</formula>
    </cfRule>
  </conditionalFormatting>
  <dataValidations count="2">
    <dataValidation sqref="C6" showDropDown="0" showInputMessage="0" showErrorMessage="0" allowBlank="1" type="list">
      <formula1>"Sí,No"</formula1>
    </dataValidation>
    <dataValidation sqref="C9" showDropDown="0" showInputMessage="0" showErrorMessage="0" allowBlank="1" type="list">
      <formula1>=Ajustes!$B$14:$B$18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E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20" customWidth="1" min="4" max="4"/>
    <col width="22" customWidth="1" min="5" max="5"/>
  </cols>
  <sheetData>
    <row r="2" ht="34" customHeight="1">
      <c r="B2" s="1" t="inlineStr">
        <is>
          <t>Ajustes: combustibles y vehículos</t>
        </is>
      </c>
      <c r="C2" s="2" t="n"/>
      <c r="D2" s="2" t="n"/>
      <c r="E2" s="2" t="n"/>
    </row>
    <row r="3">
      <c r="B3" s="3" t="inlineStr">
        <is>
          <t>Cambia aquí los precios y consumos y se actualiza todo el libro</t>
        </is>
      </c>
    </row>
    <row r="5" ht="26" customHeight="1">
      <c r="B5" s="11" t="inlineStr">
        <is>
          <t>Combustible</t>
        </is>
      </c>
      <c r="C5" s="11" t="inlineStr">
        <is>
          <t>Precio (€/litro)</t>
        </is>
      </c>
    </row>
    <row r="6">
      <c r="B6" s="22" t="inlineStr">
        <is>
          <t>Gasolina 95</t>
        </is>
      </c>
      <c r="C6" s="35" t="n">
        <v>1.58</v>
      </c>
    </row>
    <row r="7">
      <c r="B7" s="22" t="inlineStr">
        <is>
          <t>Gasolina 98</t>
        </is>
      </c>
      <c r="C7" s="35" t="n">
        <v>1.72</v>
      </c>
    </row>
    <row r="8">
      <c r="B8" s="22" t="inlineStr">
        <is>
          <t>Diésel</t>
        </is>
      </c>
      <c r="C8" s="35" t="n">
        <v>1.49</v>
      </c>
    </row>
    <row r="9">
      <c r="B9" s="22" t="inlineStr">
        <is>
          <t>Diésel premium</t>
        </is>
      </c>
      <c r="C9" s="35" t="n">
        <v>1.61</v>
      </c>
    </row>
    <row r="10">
      <c r="B10" s="22" t="inlineStr">
        <is>
          <t>GLP autogás</t>
        </is>
      </c>
      <c r="C10" s="35" t="n">
        <v>0.84</v>
      </c>
    </row>
    <row r="11">
      <c r="B11" s="21" t="inlineStr">
        <is>
          <t>Precios orientativos de ejemplo: actualízalos con los de tu gasolinera.</t>
        </is>
      </c>
    </row>
    <row r="13" ht="32" customHeight="1">
      <c r="B13" s="11" t="inlineStr">
        <is>
          <t>Vehículo</t>
        </is>
      </c>
      <c r="C13" s="11" t="inlineStr">
        <is>
          <t>Combustible</t>
        </is>
      </c>
      <c r="D13" s="11" t="inlineStr">
        <is>
          <t>Consumo (l/100 km)</t>
        </is>
      </c>
      <c r="E13" s="11" t="inlineStr">
        <is>
          <t>Combustible por 100 km (€)</t>
        </is>
      </c>
    </row>
    <row r="14">
      <c r="B14" s="22" t="inlineStr">
        <is>
          <t>Utilitario gasolina</t>
        </is>
      </c>
      <c r="C14" s="22" t="inlineStr">
        <is>
          <t>Gasolina 95</t>
        </is>
      </c>
      <c r="D14" s="36" t="n">
        <v>5.8</v>
      </c>
      <c r="E14" s="14">
        <f>IF(B14="","",ROUND(D14*IFERROR(VLOOKUP(C14,$B$6:$C$10,2,FALSE),0),2))</f>
        <v/>
      </c>
    </row>
    <row r="15">
      <c r="B15" s="22" t="inlineStr">
        <is>
          <t>Berlina diésel</t>
        </is>
      </c>
      <c r="C15" s="22" t="inlineStr">
        <is>
          <t>Diésel</t>
        </is>
      </c>
      <c r="D15" s="36" t="n">
        <v>5.2</v>
      </c>
      <c r="E15" s="14">
        <f>IF(B15="","",ROUND(D15*IFERROR(VLOOKUP(C15,$B$6:$C$10,2,FALSE),0),2))</f>
        <v/>
      </c>
    </row>
    <row r="16">
      <c r="B16" s="22" t="inlineStr">
        <is>
          <t>SUV familiar diésel</t>
        </is>
      </c>
      <c r="C16" s="22" t="inlineStr">
        <is>
          <t>Diésel</t>
        </is>
      </c>
      <c r="D16" s="36" t="n">
        <v>6.9</v>
      </c>
      <c r="E16" s="14">
        <f>IF(B16="","",ROUND(D16*IFERROR(VLOOKUP(C16,$B$6:$C$10,2,FALSE),0),2))</f>
        <v/>
      </c>
    </row>
    <row r="17">
      <c r="B17" s="22" t="inlineStr">
        <is>
          <t>Furgoneta camper</t>
        </is>
      </c>
      <c r="C17" s="22" t="inlineStr">
        <is>
          <t>Diésel</t>
        </is>
      </c>
      <c r="D17" s="36" t="n">
        <v>9.4</v>
      </c>
      <c r="E17" s="14">
        <f>IF(B17="","",ROUND(D17*IFERROR(VLOOKUP(C17,$B$6:$C$10,2,FALSE),0),2))</f>
        <v/>
      </c>
    </row>
    <row r="18">
      <c r="B18" s="22" t="inlineStr">
        <is>
          <t>Moto 125</t>
        </is>
      </c>
      <c r="C18" s="22" t="inlineStr">
        <is>
          <t>Gasolina 95</t>
        </is>
      </c>
      <c r="D18" s="36" t="n">
        <v>3.1</v>
      </c>
      <c r="E18" s="14">
        <f>IF(B18="","",ROUND(D18*IFERROR(VLOOKUP(C18,$B$6:$C$10,2,FALSE),0),2))</f>
        <v/>
      </c>
    </row>
    <row r="20">
      <c r="B20" s="21" t="inlineStr">
        <is>
          <t>El consumo es el que marca tu ordenador de a bordo o el que calcules repostando (ver Instrucciones).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E3"/>
    <mergeCell ref="B2:E2"/>
  </mergeCells>
  <conditionalFormatting sqref="E14:E18">
    <cfRule type="dataBar" priority="1">
      <dataBar>
        <cfvo type="num" val="0"/>
        <cfvo type="max"/>
        <color rgb="0010B981"/>
      </dataBar>
    </cfRule>
  </conditionalFormatting>
  <dataValidations count="1">
    <dataValidation sqref="C14:C18" showDropDown="0" showInputMessage="0" showErrorMessage="0" allowBlank="1" type="list">
      <formula1>=$B$6:$B$10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Calculadora de gasolina y peajes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18" customHeight="1">
      <c r="B6" s="37" t="inlineStr">
        <is>
          <t>1.  En la hoja «Ajustes» pon el precio por litro de cada combustible (celdas crema, texto azul).</t>
        </is>
      </c>
    </row>
    <row r="7" ht="18" customHeight="1">
      <c r="B7" s="37" t="inlineStr">
        <is>
          <t>2.  En la misma hoja, rellena tus vehículos: nombre, combustible y consumo en litros cada 100 km.</t>
        </is>
      </c>
    </row>
    <row r="8" ht="30" customHeight="1">
      <c r="B8" s="37" t="inlineStr">
        <is>
          <t>3.  Ve a «Trayectos» y anota cada viaje: nombre, vehículo (desplegable), km de un sentido, si es ida y vuelta, peajes por sentido, personas y fecha.</t>
        </is>
      </c>
    </row>
    <row r="9" ht="30" customHeight="1">
      <c r="B9" s="37" t="inlineStr">
        <is>
          <t>4.  Las columnas verdes calculan solas los km totales, los litros, el coste del combustible, los peajes, el coste total, lo que paga cada persona y el €/km.</t>
        </is>
      </c>
    </row>
    <row r="10" ht="30" customHeight="1">
      <c r="B10" s="37" t="inlineStr">
        <is>
          <t>5.  Cuando necesites planificar un viaje futuro, usa «Comparativa»: escribe km, peajes y personas y verás el coste con cada vehículo.</t>
        </is>
      </c>
    </row>
    <row r="11" ht="30" customHeight="1">
      <c r="B11" s="37" t="inlineStr">
        <is>
          <t>6.  En el bloque inferior de «Comparativa» compara el coche con tren, autobús o avión introduciendo el precio del billete por persona.</t>
        </is>
      </c>
    </row>
    <row r="12" ht="30" customHeight="1">
      <c r="B12" s="37" t="inlineStr">
        <is>
          <t>7.  En «Resumen» cambia el año y revisa los KPIs, el desglose por vehículo y por mes, y los gráficos.</t>
        </is>
      </c>
    </row>
    <row r="14">
      <c r="B14" s="10" t="inlineStr">
        <is>
          <t>CONSEJOS</t>
        </is>
      </c>
    </row>
    <row r="15" ht="30" customHeight="1">
      <c r="B15" s="37" t="inlineStr">
        <is>
          <t>•  Para calcular tu consumo real: llena el depósito, pon el cuentakilómetros a cero, conduce y vuelve a llenar. Litros repostados ÷ km × 100 = l/100 km.</t>
        </is>
      </c>
    </row>
    <row r="16" ht="30" customHeight="1">
      <c r="B16" s="37" t="inlineStr">
        <is>
          <t>•  Si un tramo tiene un peaje distinto en cada sentido, anótalo como dos trayectos con «¿Ida y vuelta?» en No.</t>
        </is>
      </c>
    </row>
    <row r="17" ht="30" customHeight="1">
      <c r="B17" s="37" t="inlineStr">
        <is>
          <t>•  Las filas vacías de «Trayectos» (hasta la 46) ya tienen las fórmulas puestas: solo tienes que rellenar las celdas crema.</t>
        </is>
      </c>
    </row>
    <row r="18" ht="18" customHeight="1">
      <c r="B18" s="37" t="inlineStr">
        <is>
          <t>•  Añade nuevos vehículos o combustibles sobreescribiendo los ejemplos de «Ajustes».</t>
        </is>
      </c>
    </row>
    <row r="20">
      <c r="B20" s="21" t="inlineStr">
        <is>
          <t>Las celdas con fondo crema y texto azul son para rellenar; las verdes se calculan solas.</t>
        </is>
      </c>
    </row>
    <row r="22" ht="44" customHeight="1">
      <c r="B22" s="38" t="inlineStr">
        <is>
          <t>Aviso: los precios, consumos y peajes son datos de ejemplo editables, no tarifas oficiales. El gasto real depende de tu conducción, la carga y el tráfico. Es una herramienta de cálculo orientativo.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2026-10-02T12:51:38Z</dcterms:created>
  <dcterms:modified xmlns:dcterms="http://purl.org/dc/terms/" xmlns:xsi="http://www.w3.org/2001/XMLSchema-instance" xsi:type="dcterms:W3CDTF">2026-10-02T12:51:39Z</dcterms:modified>
</cp:coreProperties>
</file>