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Notas" sheetId="2" state="visible" r:id="rId2"/>
    <sheet xmlns:r="http://schemas.openxmlformats.org/officeDocument/2006/relationships" name="Criterios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#"/>
    <numFmt numFmtId="167" formatCode="0.000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color rgb="00111827"/>
      <sz val="10"/>
    </font>
    <font>
      <name val="Arial"/>
      <b val="1"/>
      <color rgb="006B7280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9"/>
    </font>
    <font>
      <name val="Arial"/>
      <color rgb="006B7280"/>
      <sz val="8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5" fillId="6" borderId="0" applyAlignment="1" pivotButton="0" quotePrefix="0" xfId="0">
      <alignment horizontal="center" vertical="center" wrapText="1"/>
    </xf>
    <xf numFmtId="3" fontId="16" fillId="6" borderId="0" applyAlignment="1" pivotButton="0" quotePrefix="0" xfId="0">
      <alignment horizontal="center" vertical="center"/>
    </xf>
    <xf numFmtId="2" fontId="16" fillId="6" borderId="0" applyAlignment="1" pivotButton="0" quotePrefix="0" xfId="0">
      <alignment horizontal="center" vertical="center"/>
    </xf>
    <xf numFmtId="164" fontId="16" fillId="6" borderId="0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/>
    </xf>
    <xf numFmtId="164" fontId="11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3" fontId="7" fillId="5" borderId="1" applyAlignment="1" pivotButton="0" quotePrefix="0" xfId="0">
      <alignment horizontal="center"/>
    </xf>
    <xf numFmtId="164" fontId="7" fillId="5" borderId="1" applyAlignment="1" pivotButton="0" quotePrefix="0" xfId="0">
      <alignment horizontal="center"/>
    </xf>
    <xf numFmtId="0" fontId="6" fillId="0" borderId="1" applyAlignment="1" pivotButton="0" quotePrefix="0" xfId="0">
      <alignment vertical="center"/>
    </xf>
    <xf numFmtId="2" fontId="11" fillId="0" borderId="1" applyAlignment="1" pivotButton="0" quotePrefix="0" xfId="0">
      <alignment horizontal="center" vertical="center"/>
    </xf>
    <xf numFmtId="2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/>
    </xf>
    <xf numFmtId="3" fontId="14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right" vertical="center"/>
    </xf>
    <xf numFmtId="9" fontId="12" fillId="0" borderId="1" applyAlignment="1" pivotButton="0" quotePrefix="0" xfId="0">
      <alignment horizontal="center" vertical="center"/>
    </xf>
    <xf numFmtId="9" fontId="13" fillId="0" borderId="1" applyAlignment="1" pivotButton="0" quotePrefix="0" xfId="0">
      <alignment horizontal="center"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166" fontId="8" fillId="0" borderId="1" applyAlignment="1" pivotButton="0" quotePrefix="0" xfId="0">
      <alignment horizontal="center" vertical="center"/>
    </xf>
    <xf numFmtId="167" fontId="14" fillId="0" borderId="1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/>
    </xf>
    <xf numFmtId="164" fontId="5" fillId="4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/>
    </xf>
    <xf numFmtId="1" fontId="5" fillId="4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Alumnos por calificación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'Panel'!$B$11:$B$15</f>
            </numRef>
          </cat>
          <val>
            <numRef>
              <f>'Panel'!$C$11:$C$15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Media de la clase por evaluación y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'Panel'!$B$26:$B$28</f>
            </numRef>
          </cat>
          <val>
            <numRef>
              <f>'Panel'!$C$26:$C$28</f>
            </numRef>
          </val>
        </ser>
        <ser>
          <idx val="1"/>
          <order val="1"/>
          <tx>
            <strRef>
              <f>'Panel'!D25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'Panel'!$B$26:$B$28</f>
            </numRef>
          </cat>
          <val>
            <numRef>
              <f>'Panel'!$D$26:$D$28</f>
            </numRef>
          </val>
        </ser>
        <ser>
          <idx val="2"/>
          <order val="2"/>
          <tx>
            <strRef>
              <f>'Panel'!E25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'Panel'!$B$26:$B$28</f>
            </numRef>
          </cat>
          <val>
            <numRef>
              <f>'Panel'!$E$26:$E$28</f>
            </numRef>
          </val>
        </ser>
        <ser>
          <idx val="3"/>
          <order val="3"/>
          <tx>
            <strRef>
              <f>'Panel'!F25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'Panel'!$B$26:$B$28</f>
            </numRef>
          </cat>
          <val>
            <numRef>
              <f>'Panel'!$F$26:$F$28</f>
            </numRef>
          </val>
        </ser>
        <ser>
          <idx val="4"/>
          <order val="4"/>
          <tx>
            <strRef>
              <f>'Panel'!G25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'Panel'!$B$26:$B$28</f>
            </numRef>
          </cat>
          <val>
            <numRef>
              <f>'Panel'!$G$26:$G$28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8</row>
      <rowOff>0</rowOff>
    </from>
    <ext cx="486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29</row>
      <rowOff>0</rowOff>
    </from>
    <ext cx="79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6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6" customWidth="1" min="9" max="9"/>
  </cols>
  <sheetData>
    <row r="2" ht="34" customHeight="1">
      <c r="B2" s="1" t="inlineStr">
        <is>
          <t>Panel de la nota final del curso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Matemáticas · 3.º ESO B · Curso 2025-26 · Datos de ejemplo ficticios: sustitúyelos por los tuyos</t>
        </is>
      </c>
    </row>
    <row r="5" ht="32" customHeight="1">
      <c r="B5" s="4" t="inlineStr">
        <is>
          <t>ALUMNOS</t>
        </is>
      </c>
      <c r="C5" s="4" t="inlineStr">
        <is>
          <t>NOTA MEDIA DE LA CLASE</t>
        </is>
      </c>
      <c r="D5" s="4" t="inlineStr">
        <is>
          <t>% QUE APRUEBA</t>
        </is>
      </c>
      <c r="E5" s="4" t="inlineStr">
        <is>
          <t>EN RIESGO</t>
        </is>
      </c>
      <c r="F5" s="4" t="inlineStr">
        <is>
          <t>SUSPENDEN</t>
        </is>
      </c>
      <c r="G5" s="4" t="inlineStr">
        <is>
          <t>NOTA MÁXIMA</t>
        </is>
      </c>
      <c r="H5" s="4" t="inlineStr">
        <is>
          <t>NOTA MÍNIMA</t>
        </is>
      </c>
    </row>
    <row r="6" ht="36" customHeight="1">
      <c r="B6" s="5">
        <f>COUNTA(Notas!$B$7:$B$46)</f>
        <v/>
      </c>
      <c r="C6" s="6">
        <f>IFERROR(AVERAGE(Notas!$S$7:$S$46),0)</f>
        <v/>
      </c>
      <c r="D6" s="7">
        <f>IF(COUNT(Notas!$T$7:$T$46)=0,0,COUNTIF(Notas!$T$7:$T$46,"&gt;="&amp;Criterios!$C$21)/COUNT(Notas!$T$7:$T$46))</f>
        <v/>
      </c>
      <c r="E6" s="5">
        <f>COUNTIF(Notas!$V$7:$V$46,"En riesgo")</f>
        <v/>
      </c>
      <c r="F6" s="5">
        <f>COUNTIF(Notas!$V$7:$V$46,"Suspende")</f>
        <v/>
      </c>
      <c r="G6" s="6">
        <f>IF(COUNT(Notas!$S$7:$S$46)=0,0,MAX(Notas!$S$7:$S$46))</f>
        <v/>
      </c>
      <c r="H6" s="6">
        <f>IF(COUNT(Notas!$S$7:$S$46)=0,0,MIN(Notas!$S$7:$S$46))</f>
        <v/>
      </c>
    </row>
    <row r="7">
      <c r="B7" s="8">
        <f>IF(AND(ROUND(Criterios!C11,4)=1,ROUND(Criterios!C18,4)=1),"Ponderaciones correctas: las categorías y las evaluaciones suman 100 %.","REVISA la hoja Criterios: los pesos no suman 100 % y las notas finales no serán fiables.")</f>
        <v/>
      </c>
    </row>
    <row r="9">
      <c r="B9" s="9" t="inlineStr">
        <is>
          <t>DISTRIBUCIÓN DE CALIFICACIONES</t>
        </is>
      </c>
    </row>
    <row r="10" ht="26" customHeight="1">
      <c r="B10" s="10" t="inlineStr">
        <is>
          <t>Calificación</t>
        </is>
      </c>
      <c r="C10" s="10" t="inlineStr">
        <is>
          <t>Alumnos</t>
        </is>
      </c>
      <c r="D10" s="10" t="inlineStr">
        <is>
          <t>% de la clase</t>
        </is>
      </c>
    </row>
    <row r="11">
      <c r="B11" s="8">
        <f>Criterios!$G$7</f>
        <v/>
      </c>
      <c r="C11" s="11">
        <f>COUNTIF(Notas!$U$7:$U$46,B11)</f>
        <v/>
      </c>
      <c r="D11" s="12">
        <f>IF($C$16=0,0,C11/$C$16)</f>
        <v/>
      </c>
    </row>
    <row r="12">
      <c r="B12" s="8">
        <f>Criterios!$G$8</f>
        <v/>
      </c>
      <c r="C12" s="11">
        <f>COUNTIF(Notas!$U$7:$U$46,B12)</f>
        <v/>
      </c>
      <c r="D12" s="12">
        <f>IF($C$16=0,0,C12/$C$16)</f>
        <v/>
      </c>
    </row>
    <row r="13">
      <c r="B13" s="8">
        <f>Criterios!$G$9</f>
        <v/>
      </c>
      <c r="C13" s="11">
        <f>COUNTIF(Notas!$U$7:$U$46,B13)</f>
        <v/>
      </c>
      <c r="D13" s="12">
        <f>IF($C$16=0,0,C13/$C$16)</f>
        <v/>
      </c>
    </row>
    <row r="14">
      <c r="B14" s="8">
        <f>Criterios!$G$10</f>
        <v/>
      </c>
      <c r="C14" s="11">
        <f>COUNTIF(Notas!$U$7:$U$46,B14)</f>
        <v/>
      </c>
      <c r="D14" s="12">
        <f>IF($C$16=0,0,C14/$C$16)</f>
        <v/>
      </c>
    </row>
    <row r="15">
      <c r="B15" s="8">
        <f>Criterios!$G$11</f>
        <v/>
      </c>
      <c r="C15" s="11">
        <f>COUNTIF(Notas!$U$7:$U$46,B15)</f>
        <v/>
      </c>
      <c r="D15" s="12">
        <f>IF($C$16=0,0,C15/$C$16)</f>
        <v/>
      </c>
    </row>
    <row r="16">
      <c r="B16" s="13" t="inlineStr">
        <is>
          <t>Total con nota</t>
        </is>
      </c>
      <c r="C16" s="14">
        <f>SUM(C11:C15)</f>
        <v/>
      </c>
      <c r="D16" s="15">
        <f>SUM(D11:D15)</f>
        <v/>
      </c>
    </row>
    <row r="24">
      <c r="B24" s="9" t="inlineStr">
        <is>
          <t>MEDIAS DE LA CLASE POR EVALUACIÓN</t>
        </is>
      </c>
    </row>
    <row r="25" ht="32" customHeight="1">
      <c r="B25" s="10" t="inlineStr">
        <is>
          <t>Evaluación</t>
        </is>
      </c>
      <c r="C25" s="10">
        <f>Criterios!$B$7</f>
        <v/>
      </c>
      <c r="D25" s="10">
        <f>Criterios!$B$8</f>
        <v/>
      </c>
      <c r="E25" s="10">
        <f>Criterios!$B$9</f>
        <v/>
      </c>
      <c r="F25" s="10">
        <f>Criterios!$B$10</f>
        <v/>
      </c>
      <c r="G25" s="10" t="inlineStr">
        <is>
          <t>Nota evaluación</t>
        </is>
      </c>
    </row>
    <row r="26">
      <c r="B26" s="16" t="inlineStr">
        <is>
          <t>1ª evaluación</t>
        </is>
      </c>
      <c r="C26" s="17">
        <f>IFERROR(AVERAGE(Notas!$D$7:$D$46),0)</f>
        <v/>
      </c>
      <c r="D26" s="17">
        <f>IFERROR(AVERAGE(Notas!$E$7:$E$46),0)</f>
        <v/>
      </c>
      <c r="E26" s="17">
        <f>IFERROR(AVERAGE(Notas!$F$7:$F$46),0)</f>
        <v/>
      </c>
      <c r="F26" s="17">
        <f>IFERROR(AVERAGE(Notas!$G$7:$G$46),0)</f>
        <v/>
      </c>
      <c r="G26" s="18">
        <f>IFERROR(AVERAGE(Notas!$H$7:$H$46),0)</f>
        <v/>
      </c>
    </row>
    <row r="27">
      <c r="B27" s="16" t="inlineStr">
        <is>
          <t>2ª evaluación</t>
        </is>
      </c>
      <c r="C27" s="17">
        <f>IFERROR(AVERAGE(Notas!$I$7:$I$46),0)</f>
        <v/>
      </c>
      <c r="D27" s="17">
        <f>IFERROR(AVERAGE(Notas!$J$7:$J$46),0)</f>
        <v/>
      </c>
      <c r="E27" s="17">
        <f>IFERROR(AVERAGE(Notas!$K$7:$K$46),0)</f>
        <v/>
      </c>
      <c r="F27" s="17">
        <f>IFERROR(AVERAGE(Notas!$L$7:$L$46),0)</f>
        <v/>
      </c>
      <c r="G27" s="18">
        <f>IFERROR(AVERAGE(Notas!$M$7:$M$46),0)</f>
        <v/>
      </c>
    </row>
    <row r="28">
      <c r="B28" s="16" t="inlineStr">
        <is>
          <t>3ª evaluación</t>
        </is>
      </c>
      <c r="C28" s="17">
        <f>IFERROR(AVERAGE(Notas!$N$7:$N$46),0)</f>
        <v/>
      </c>
      <c r="D28" s="17">
        <f>IFERROR(AVERAGE(Notas!$O$7:$O$46),0)</f>
        <v/>
      </c>
      <c r="E28" s="17">
        <f>IFERROR(AVERAGE(Notas!$P$7:$P$46),0)</f>
        <v/>
      </c>
      <c r="F28" s="17">
        <f>IFERROR(AVERAGE(Notas!$Q$7:$Q$46),0)</f>
        <v/>
      </c>
      <c r="G28" s="18">
        <f>IFERROR(AVERAGE(Notas!$R$7:$R$46),0)</f>
        <v/>
      </c>
    </row>
    <row r="47">
      <c r="B47" s="9" t="inlineStr">
        <is>
          <t>MEJORES NOTAS FINALES</t>
        </is>
      </c>
    </row>
    <row r="48" ht="26" customHeight="1">
      <c r="B48" s="10" t="inlineStr">
        <is>
          <t>Alumno/a</t>
        </is>
      </c>
      <c r="C48" s="10" t="inlineStr">
        <is>
          <t>Grupo</t>
        </is>
      </c>
      <c r="D48" s="10" t="inlineStr">
        <is>
          <t>Nota final</t>
        </is>
      </c>
      <c r="E48" s="10" t="inlineStr">
        <is>
          <t>Calificación</t>
        </is>
      </c>
      <c r="F48" s="10" t="inlineStr">
        <is>
          <t>Fila</t>
        </is>
      </c>
    </row>
    <row r="49">
      <c r="B49" s="19">
        <f>IF($F49="","",INDEX(Notas!$B$7:$B$46,$F49))</f>
        <v/>
      </c>
      <c r="C49" s="20">
        <f>IF($F49="","",INDEX(Notas!$C$7:$C$46,$F49))</f>
        <v/>
      </c>
      <c r="D49" s="18">
        <f>IF($F49="","",INDEX(Notas!$S$7:$S$46,$F49))</f>
        <v/>
      </c>
      <c r="E49" s="20">
        <f>IF($F49="","",INDEX(Notas!$U$7:$U$46,$F49))</f>
        <v/>
      </c>
      <c r="F49" s="21">
        <f>IFERROR(MATCH(LARGE(Notas!$Z$7:$Z$46,ROWS($F$49:F49)),Notas!$Z$7:$Z$46,0),"")</f>
        <v/>
      </c>
    </row>
    <row r="50">
      <c r="B50" s="19">
        <f>IF($F50="","",INDEX(Notas!$B$7:$B$46,$F50))</f>
        <v/>
      </c>
      <c r="C50" s="20">
        <f>IF($F50="","",INDEX(Notas!$C$7:$C$46,$F50))</f>
        <v/>
      </c>
      <c r="D50" s="18">
        <f>IF($F50="","",INDEX(Notas!$S$7:$S$46,$F50))</f>
        <v/>
      </c>
      <c r="E50" s="20">
        <f>IF($F50="","",INDEX(Notas!$U$7:$U$46,$F50))</f>
        <v/>
      </c>
      <c r="F50" s="21">
        <f>IFERROR(MATCH(LARGE(Notas!$Z$7:$Z$46,ROWS($F$49:F50)),Notas!$Z$7:$Z$46,0),"")</f>
        <v/>
      </c>
    </row>
    <row r="51">
      <c r="B51" s="19">
        <f>IF($F51="","",INDEX(Notas!$B$7:$B$46,$F51))</f>
        <v/>
      </c>
      <c r="C51" s="20">
        <f>IF($F51="","",INDEX(Notas!$C$7:$C$46,$F51))</f>
        <v/>
      </c>
      <c r="D51" s="18">
        <f>IF($F51="","",INDEX(Notas!$S$7:$S$46,$F51))</f>
        <v/>
      </c>
      <c r="E51" s="20">
        <f>IF($F51="","",INDEX(Notas!$U$7:$U$46,$F51))</f>
        <v/>
      </c>
      <c r="F51" s="21">
        <f>IFERROR(MATCH(LARGE(Notas!$Z$7:$Z$46,ROWS($F$49:F51)),Notas!$Z$7:$Z$46,0),"")</f>
        <v/>
      </c>
    </row>
    <row r="52">
      <c r="B52" s="19">
        <f>IF($F52="","",INDEX(Notas!$B$7:$B$46,$F52))</f>
        <v/>
      </c>
      <c r="C52" s="20">
        <f>IF($F52="","",INDEX(Notas!$C$7:$C$46,$F52))</f>
        <v/>
      </c>
      <c r="D52" s="18">
        <f>IF($F52="","",INDEX(Notas!$S$7:$S$46,$F52))</f>
        <v/>
      </c>
      <c r="E52" s="20">
        <f>IF($F52="","",INDEX(Notas!$U$7:$U$46,$F52))</f>
        <v/>
      </c>
      <c r="F52" s="21">
        <f>IFERROR(MATCH(LARGE(Notas!$Z$7:$Z$46,ROWS($F$49:F52)),Notas!$Z$7:$Z$46,0),"")</f>
        <v/>
      </c>
    </row>
    <row r="53">
      <c r="B53" s="19">
        <f>IF($F53="","",INDEX(Notas!$B$7:$B$46,$F53))</f>
        <v/>
      </c>
      <c r="C53" s="20">
        <f>IF($F53="","",INDEX(Notas!$C$7:$C$46,$F53))</f>
        <v/>
      </c>
      <c r="D53" s="18">
        <f>IF($F53="","",INDEX(Notas!$S$7:$S$46,$F53))</f>
        <v/>
      </c>
      <c r="E53" s="20">
        <f>IF($F53="","",INDEX(Notas!$U$7:$U$46,$F53))</f>
        <v/>
      </c>
      <c r="F53" s="21">
        <f>IFERROR(MATCH(LARGE(Notas!$Z$7:$Z$46,ROWS($F$49:F53)),Notas!$Z$7:$Z$46,0),"")</f>
        <v/>
      </c>
    </row>
    <row r="56">
      <c r="B56" s="9" t="inlineStr">
        <is>
          <t>ALUMNOS EN RIESGO O SUSPENSOS (de menor a mayor nota)</t>
        </is>
      </c>
    </row>
    <row r="57" ht="32" customHeight="1">
      <c r="B57" s="10" t="inlineStr">
        <is>
          <t>Alumno/a</t>
        </is>
      </c>
      <c r="C57" s="10" t="inlineStr">
        <is>
          <t>Grupo</t>
        </is>
      </c>
      <c r="D57" s="10" t="inlineStr">
        <is>
          <t>Nota final</t>
        </is>
      </c>
      <c r="E57" s="10" t="inlineStr">
        <is>
          <t>Estado</t>
        </is>
      </c>
      <c r="F57" s="10" t="inlineStr">
        <is>
          <t>Nota necesaria 3ª eval.</t>
        </is>
      </c>
      <c r="G57" s="10" t="inlineStr">
        <is>
          <t>Evaluac. suspensas</t>
        </is>
      </c>
      <c r="H57" s="10" t="inlineStr">
        <is>
          <t>Fila</t>
        </is>
      </c>
    </row>
    <row r="58">
      <c r="B58" s="19">
        <f>IF($H58="","",INDEX(Notas!$B$7:$B$46,$H58))</f>
        <v/>
      </c>
      <c r="C58" s="20">
        <f>IF($H58="","",INDEX(Notas!$C$7:$C$46,$H58))</f>
        <v/>
      </c>
      <c r="D58" s="18">
        <f>IF($H58="","",INDEX(Notas!$S$7:$S$46,$H58))</f>
        <v/>
      </c>
      <c r="E58" s="20">
        <f>IF($H58="","",INDEX(Notas!$V$7:$V$46,$H58))</f>
        <v/>
      </c>
      <c r="F58" s="17">
        <f>IF($H58="","",INDEX(Notas!$X$7:$X$46,$H58))</f>
        <v/>
      </c>
      <c r="G58" s="11">
        <f>IF($H58="","",INDEX(Notas!$W$7:$W$46,$H58))</f>
        <v/>
      </c>
      <c r="H58" s="21">
        <f>IFERROR(MATCH(SMALL(Notas!$Y$7:$Y$46,ROWS($H$58:H58)),Notas!$Y$7:$Y$46,0),"")</f>
        <v/>
      </c>
    </row>
    <row r="59">
      <c r="B59" s="19">
        <f>IF($H59="","",INDEX(Notas!$B$7:$B$46,$H59))</f>
        <v/>
      </c>
      <c r="C59" s="20">
        <f>IF($H59="","",INDEX(Notas!$C$7:$C$46,$H59))</f>
        <v/>
      </c>
      <c r="D59" s="18">
        <f>IF($H59="","",INDEX(Notas!$S$7:$S$46,$H59))</f>
        <v/>
      </c>
      <c r="E59" s="20">
        <f>IF($H59="","",INDEX(Notas!$V$7:$V$46,$H59))</f>
        <v/>
      </c>
      <c r="F59" s="17">
        <f>IF($H59="","",INDEX(Notas!$X$7:$X$46,$H59))</f>
        <v/>
      </c>
      <c r="G59" s="11">
        <f>IF($H59="","",INDEX(Notas!$W$7:$W$46,$H59))</f>
        <v/>
      </c>
      <c r="H59" s="21">
        <f>IFERROR(MATCH(SMALL(Notas!$Y$7:$Y$46,ROWS($H$58:H59)),Notas!$Y$7:$Y$46,0),"")</f>
        <v/>
      </c>
    </row>
    <row r="60">
      <c r="B60" s="19">
        <f>IF($H60="","",INDEX(Notas!$B$7:$B$46,$H60))</f>
        <v/>
      </c>
      <c r="C60" s="20">
        <f>IF($H60="","",INDEX(Notas!$C$7:$C$46,$H60))</f>
        <v/>
      </c>
      <c r="D60" s="18">
        <f>IF($H60="","",INDEX(Notas!$S$7:$S$46,$H60))</f>
        <v/>
      </c>
      <c r="E60" s="20">
        <f>IF($H60="","",INDEX(Notas!$V$7:$V$46,$H60))</f>
        <v/>
      </c>
      <c r="F60" s="17">
        <f>IF($H60="","",INDEX(Notas!$X$7:$X$46,$H60))</f>
        <v/>
      </c>
      <c r="G60" s="11">
        <f>IF($H60="","",INDEX(Notas!$W$7:$W$46,$H60))</f>
        <v/>
      </c>
      <c r="H60" s="21">
        <f>IFERROR(MATCH(SMALL(Notas!$Y$7:$Y$46,ROWS($H$58:H60)),Notas!$Y$7:$Y$46,0),"")</f>
        <v/>
      </c>
    </row>
    <row r="61">
      <c r="B61" s="19">
        <f>IF($H61="","",INDEX(Notas!$B$7:$B$46,$H61))</f>
        <v/>
      </c>
      <c r="C61" s="20">
        <f>IF($H61="","",INDEX(Notas!$C$7:$C$46,$H61))</f>
        <v/>
      </c>
      <c r="D61" s="18">
        <f>IF($H61="","",INDEX(Notas!$S$7:$S$46,$H61))</f>
        <v/>
      </c>
      <c r="E61" s="20">
        <f>IF($H61="","",INDEX(Notas!$V$7:$V$46,$H61))</f>
        <v/>
      </c>
      <c r="F61" s="17">
        <f>IF($H61="","",INDEX(Notas!$X$7:$X$46,$H61))</f>
        <v/>
      </c>
      <c r="G61" s="11">
        <f>IF($H61="","",INDEX(Notas!$W$7:$W$46,$H61))</f>
        <v/>
      </c>
      <c r="H61" s="21">
        <f>IFERROR(MATCH(SMALL(Notas!$Y$7:$Y$46,ROWS($H$58:H61)),Notas!$Y$7:$Y$46,0),"")</f>
        <v/>
      </c>
    </row>
    <row r="62">
      <c r="B62" s="19">
        <f>IF($H62="","",INDEX(Notas!$B$7:$B$46,$H62))</f>
        <v/>
      </c>
      <c r="C62" s="20">
        <f>IF($H62="","",INDEX(Notas!$C$7:$C$46,$H62))</f>
        <v/>
      </c>
      <c r="D62" s="18">
        <f>IF($H62="","",INDEX(Notas!$S$7:$S$46,$H62))</f>
        <v/>
      </c>
      <c r="E62" s="20">
        <f>IF($H62="","",INDEX(Notas!$V$7:$V$46,$H62))</f>
        <v/>
      </c>
      <c r="F62" s="17">
        <f>IF($H62="","",INDEX(Notas!$X$7:$X$46,$H62))</f>
        <v/>
      </c>
      <c r="G62" s="11">
        <f>IF($H62="","",INDEX(Notas!$W$7:$W$46,$H62))</f>
        <v/>
      </c>
      <c r="H62" s="21">
        <f>IFERROR(MATCH(SMALL(Notas!$Y$7:$Y$46,ROWS($H$58:H62)),Notas!$Y$7:$Y$46,0),"")</f>
        <v/>
      </c>
    </row>
    <row r="63">
      <c r="B63" s="19">
        <f>IF($H63="","",INDEX(Notas!$B$7:$B$46,$H63))</f>
        <v/>
      </c>
      <c r="C63" s="20">
        <f>IF($H63="","",INDEX(Notas!$C$7:$C$46,$H63))</f>
        <v/>
      </c>
      <c r="D63" s="18">
        <f>IF($H63="","",INDEX(Notas!$S$7:$S$46,$H63))</f>
        <v/>
      </c>
      <c r="E63" s="20">
        <f>IF($H63="","",INDEX(Notas!$V$7:$V$46,$H63))</f>
        <v/>
      </c>
      <c r="F63" s="17">
        <f>IF($H63="","",INDEX(Notas!$X$7:$X$46,$H63))</f>
        <v/>
      </c>
      <c r="G63" s="11">
        <f>IF($H63="","",INDEX(Notas!$W$7:$W$46,$H63))</f>
        <v/>
      </c>
      <c r="H63" s="21">
        <f>IFERROR(MATCH(SMALL(Notas!$Y$7:$Y$46,ROWS($H$58:H63)),Notas!$Y$7:$Y$46,0),"")</f>
        <v/>
      </c>
    </row>
    <row r="64">
      <c r="B64" s="19">
        <f>IF($H64="","",INDEX(Notas!$B$7:$B$46,$H64))</f>
        <v/>
      </c>
      <c r="C64" s="20">
        <f>IF($H64="","",INDEX(Notas!$C$7:$C$46,$H64))</f>
        <v/>
      </c>
      <c r="D64" s="18">
        <f>IF($H64="","",INDEX(Notas!$S$7:$S$46,$H64))</f>
        <v/>
      </c>
      <c r="E64" s="20">
        <f>IF($H64="","",INDEX(Notas!$V$7:$V$46,$H64))</f>
        <v/>
      </c>
      <c r="F64" s="17">
        <f>IF($H64="","",INDEX(Notas!$X$7:$X$46,$H64))</f>
        <v/>
      </c>
      <c r="G64" s="11">
        <f>IF($H64="","",INDEX(Notas!$W$7:$W$46,$H64))</f>
        <v/>
      </c>
      <c r="H64" s="21">
        <f>IFERROR(MATCH(SMALL(Notas!$Y$7:$Y$46,ROWS($H$58:H64)),Notas!$Y$7:$Y$46,0),"")</f>
        <v/>
      </c>
    </row>
    <row r="65">
      <c r="B65" s="19">
        <f>IF($H65="","",INDEX(Notas!$B$7:$B$46,$H65))</f>
        <v/>
      </c>
      <c r="C65" s="20">
        <f>IF($H65="","",INDEX(Notas!$C$7:$C$46,$H65))</f>
        <v/>
      </c>
      <c r="D65" s="18">
        <f>IF($H65="","",INDEX(Notas!$S$7:$S$46,$H65))</f>
        <v/>
      </c>
      <c r="E65" s="20">
        <f>IF($H65="","",INDEX(Notas!$V$7:$V$46,$H65))</f>
        <v/>
      </c>
      <c r="F65" s="17">
        <f>IF($H65="","",INDEX(Notas!$X$7:$X$46,$H65))</f>
        <v/>
      </c>
      <c r="G65" s="11">
        <f>IF($H65="","",INDEX(Notas!$W$7:$W$46,$H65))</f>
        <v/>
      </c>
      <c r="H65" s="21">
        <f>IFERROR(MATCH(SMALL(Notas!$Y$7:$Y$46,ROWS($H$58:H65)),Notas!$Y$7:$Y$46,0),"")</f>
        <v/>
      </c>
    </row>
    <row r="67">
      <c r="B67" s="22" t="inlineStr">
        <is>
          <t>La lista se actualiza sola al cambiar las notas. «Nota necesaria» = lo que falta en la 3ª evaluación para llegar al aprobado.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B7:H7"/>
  </mergeCells>
  <conditionalFormatting sqref="F6">
    <cfRule type="expression" priority="1" dxfId="0">
      <formula>F6&gt;0</formula>
    </cfRule>
  </conditionalFormatting>
  <conditionalFormatting sqref="E6">
    <cfRule type="expression" priority="2" dxfId="1">
      <formula>E6&gt;0</formula>
    </cfRule>
  </conditionalFormatting>
  <conditionalFormatting sqref="B7">
    <cfRule type="expression" priority="3" dxfId="0">
      <formula>LEFT($B$7,6)="REVISA"</formula>
    </cfRule>
  </conditionalFormatting>
  <conditionalFormatting sqref="D11:D15">
    <cfRule type="dataBar" priority="4">
      <dataBar>
        <cfvo type="num" val="0"/>
        <cfvo type="max"/>
        <color rgb="0010B981"/>
      </dataBar>
    </cfRule>
  </conditionalFormatting>
  <conditionalFormatting sqref="E58:E65">
    <cfRule type="cellIs" priority="5" operator="equal" dxfId="0">
      <formula>"Suspende"</formula>
    </cfRule>
    <cfRule type="cellIs" priority="6" operator="equal" dxfId="1">
      <formula>"En riesgo"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Z4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6" customWidth="1" min="21" max="21"/>
    <col width="12" customWidth="1" min="22" max="22"/>
    <col width="10" customWidth="1" min="23" max="23"/>
    <col width="13" customWidth="1" min="24" max="24"/>
    <col width="9" customWidth="1" min="25" max="25"/>
    <col width="9" customWidth="1" min="26" max="26"/>
  </cols>
  <sheetData>
    <row r="2" ht="34" customHeight="1">
      <c r="B2" s="1" t="inlineStr">
        <is>
          <t>Notas por alumno y evaluación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>
      <c r="B3" s="3" t="inlineStr">
        <is>
          <t>Escribe la nota (0-10) de cada categoría en las celdas crema. Las medias, la nota final y el estado se calculan solos.</t>
        </is>
      </c>
    </row>
    <row r="4">
      <c r="B4" s="22" t="inlineStr">
        <is>
          <t>Asignatura: Matemáticas · 3.º ESO B · Curso 2025-26 (ejemplo ficticio)</t>
        </is>
      </c>
    </row>
    <row r="5">
      <c r="B5" s="23" t="inlineStr">
        <is>
          <t>Peso en la nota  →</t>
        </is>
      </c>
      <c r="D5" s="24">
        <f>Criterios!$C$7</f>
        <v/>
      </c>
      <c r="E5" s="24">
        <f>Criterios!$C$8</f>
        <v/>
      </c>
      <c r="F5" s="24">
        <f>Criterios!$C$9</f>
        <v/>
      </c>
      <c r="G5" s="24">
        <f>Criterios!$C$10</f>
        <v/>
      </c>
      <c r="H5" s="25">
        <f>Criterios!$C$15</f>
        <v/>
      </c>
      <c r="I5" s="24">
        <f>Criterios!$C$7</f>
        <v/>
      </c>
      <c r="J5" s="24">
        <f>Criterios!$C$8</f>
        <v/>
      </c>
      <c r="K5" s="24">
        <f>Criterios!$C$9</f>
        <v/>
      </c>
      <c r="L5" s="24">
        <f>Criterios!$C$10</f>
        <v/>
      </c>
      <c r="M5" s="25">
        <f>Criterios!$C$16</f>
        <v/>
      </c>
      <c r="N5" s="24">
        <f>Criterios!$C$7</f>
        <v/>
      </c>
      <c r="O5" s="24">
        <f>Criterios!$C$8</f>
        <v/>
      </c>
      <c r="P5" s="24">
        <f>Criterios!$C$9</f>
        <v/>
      </c>
      <c r="Q5" s="24">
        <f>Criterios!$C$10</f>
        <v/>
      </c>
      <c r="R5" s="25">
        <f>Criterios!$C$17</f>
        <v/>
      </c>
    </row>
    <row r="6" ht="48" customHeight="1">
      <c r="B6" s="10" t="inlineStr">
        <is>
          <t>Alumno/a</t>
        </is>
      </c>
      <c r="C6" s="10" t="inlineStr">
        <is>
          <t>Grupo</t>
        </is>
      </c>
      <c r="D6" s="10">
        <f>"1ª "&amp;Criterios!$B$7</f>
        <v/>
      </c>
      <c r="E6" s="10">
        <f>"1ª "&amp;Criterios!$B$8</f>
        <v/>
      </c>
      <c r="F6" s="10">
        <f>"1ª "&amp;Criterios!$B$9</f>
        <v/>
      </c>
      <c r="G6" s="10">
        <f>"1ª "&amp;Criterios!$B$10</f>
        <v/>
      </c>
      <c r="H6" s="10" t="inlineStr">
        <is>
          <t>NOTA 1ª EVAL.</t>
        </is>
      </c>
      <c r="I6" s="10">
        <f>"2ª "&amp;Criterios!$B$7</f>
        <v/>
      </c>
      <c r="J6" s="10">
        <f>"2ª "&amp;Criterios!$B$8</f>
        <v/>
      </c>
      <c r="K6" s="10">
        <f>"2ª "&amp;Criterios!$B$9</f>
        <v/>
      </c>
      <c r="L6" s="10">
        <f>"2ª "&amp;Criterios!$B$10</f>
        <v/>
      </c>
      <c r="M6" s="10" t="inlineStr">
        <is>
          <t>NOTA 2ª EVAL.</t>
        </is>
      </c>
      <c r="N6" s="10">
        <f>"3ª "&amp;Criterios!$B$7</f>
        <v/>
      </c>
      <c r="O6" s="10">
        <f>"3ª "&amp;Criterios!$B$8</f>
        <v/>
      </c>
      <c r="P6" s="10">
        <f>"3ª "&amp;Criterios!$B$9</f>
        <v/>
      </c>
      <c r="Q6" s="10">
        <f>"3ª "&amp;Criterios!$B$10</f>
        <v/>
      </c>
      <c r="R6" s="10" t="inlineStr">
        <is>
          <t>NOTA 3ª EVAL.</t>
        </is>
      </c>
      <c r="S6" s="10" t="inlineStr">
        <is>
          <t>Nota final</t>
        </is>
      </c>
      <c r="T6" s="10" t="inlineStr">
        <is>
          <t>Nota final redondeada</t>
        </is>
      </c>
      <c r="U6" s="10" t="inlineStr">
        <is>
          <t>Calificación</t>
        </is>
      </c>
      <c r="V6" s="10" t="inlineStr">
        <is>
          <t>Estado</t>
        </is>
      </c>
      <c r="W6" s="10" t="inlineStr">
        <is>
          <t>Evaluac. suspensas</t>
        </is>
      </c>
      <c r="X6" s="10" t="inlineStr">
        <is>
          <t>Nota necesaria 3ª eval.</t>
        </is>
      </c>
      <c r="Y6" s="10" t="inlineStr">
        <is>
          <t>Aux. riesgo</t>
        </is>
      </c>
      <c r="Z6" s="10" t="inlineStr">
        <is>
          <t>Aux. top</t>
        </is>
      </c>
    </row>
    <row r="7">
      <c r="B7" s="26" t="inlineStr">
        <is>
          <t>Lucía Martín Gómez</t>
        </is>
      </c>
      <c r="C7" s="27" t="inlineStr">
        <is>
          <t>3.º ESO B</t>
        </is>
      </c>
      <c r="D7" s="28" t="n">
        <v>8.5</v>
      </c>
      <c r="E7" s="28" t="n">
        <v>10</v>
      </c>
      <c r="F7" s="28" t="n">
        <v>10</v>
      </c>
      <c r="G7" s="28" t="n">
        <v>10</v>
      </c>
      <c r="H7" s="18">
        <f>IF(OR($B7="",COUNT(D7:G7)=0),"",SUMPRODUCT(D$5:G$5,D7:G7)/SUMPRODUCT(D$5:G$5*ISNUMBER(D7:G7)))</f>
        <v/>
      </c>
      <c r="I7" s="28" t="n">
        <v>9</v>
      </c>
      <c r="J7" s="28" t="n">
        <v>10</v>
      </c>
      <c r="K7" s="28" t="n">
        <v>9</v>
      </c>
      <c r="L7" s="28" t="n">
        <v>10</v>
      </c>
      <c r="M7" s="18">
        <f>IF(OR($B7="",COUNT(I7:L7)=0),"",SUMPRODUCT(I$5:L$5,I7:L7)/SUMPRODUCT(I$5:L$5*ISNUMBER(I7:L7)))</f>
        <v/>
      </c>
      <c r="N7" s="28" t="n">
        <v>9</v>
      </c>
      <c r="O7" s="28" t="n">
        <v>10</v>
      </c>
      <c r="P7" s="28" t="n">
        <v>8.5</v>
      </c>
      <c r="Q7" s="28" t="n">
        <v>9.5</v>
      </c>
      <c r="R7" s="18">
        <f>IF(OR($B7="",COUNT(N7:Q7)=0),"",SUMPRODUCT(N$5:Q$5,N7:Q7)/SUMPRODUCT(N$5:Q$5*ISNUMBER(N7:Q7)))</f>
        <v/>
      </c>
      <c r="S7" s="18">
        <f>IF(OR($B7="",COUNT(H7,M7,R7)=0),"",IFERROR((IF(ISNUMBER(H7),H$5*H7,0)+IF(ISNUMBER(M7),M$5*M7,0)+IF(ISNUMBER(R7),R$5*R7,0))/(IF(ISNUMBER(H7),H$5,0)+IF(ISNUMBER(M7),M$5,0)+IF(ISNUMBER(R7),R$5,0)),""))</f>
        <v/>
      </c>
      <c r="T7" s="29">
        <f>IF(S7="","",ROUND(S7,Criterios!$C$23))</f>
        <v/>
      </c>
      <c r="U7" s="20">
        <f>IF(T7="","",VLOOKUP(T7,Criterios!$F$7:$G$11,2,TRUE))</f>
        <v/>
      </c>
      <c r="V7" s="20">
        <f>IF($B7="","",IF(T7="","Sin notas",IF(AND(ISNUMBER(R7),T7&lt;Criterios!$C$21),"Suspende",IF(T7&lt;Criterios!$C$21+Criterios!$C$22,"En riesgo","Aprueba"))))</f>
        <v/>
      </c>
      <c r="W7" s="11">
        <f>IF($B7="","",COUNTIF(H7,"&lt;"&amp;Criterios!$C$21)+COUNTIF(M7,"&lt;"&amp;Criterios!$C$21)+COUNTIF(R7,"&lt;"&amp;Criterios!$C$21))</f>
        <v/>
      </c>
      <c r="X7" s="17">
        <f>IF(OR($B7="",ISNUMBER(R7),NOT(ISNUMBER(H7)),NOT(ISNUMBER(M7)),R$5=0),"",IF((Criterios!$C$21*(H$5+M$5+R$5)-H$5*H7-M$5*M7)/R$5&lt;=0,"Ya aprueba",IF((Criterios!$C$21*(H$5+M$5+R$5)-H$5*H7-M$5*M7)/R$5&gt;10,"Imposible",ROUND((Criterios!$C$21*(H$5+M$5+R$5)-H$5*H7-M$5*M7)/R$5,2))))</f>
        <v/>
      </c>
      <c r="Y7" s="30">
        <f>IF($B7="","",IF(OR(V7="Suspende",V7="En riesgo"),S7+ROW()/1000000,""))</f>
        <v/>
      </c>
      <c r="Z7" s="30">
        <f>IF(S7="","",S7-ROW()/1000000)</f>
        <v/>
      </c>
    </row>
    <row r="8">
      <c r="B8" s="26" t="inlineStr">
        <is>
          <t>Pablo Ortega Ruiz</t>
        </is>
      </c>
      <c r="C8" s="27" t="inlineStr">
        <is>
          <t>3.º ESO B</t>
        </is>
      </c>
      <c r="D8" s="28" t="n">
        <v>3</v>
      </c>
      <c r="E8" s="28" t="n">
        <v>5.5</v>
      </c>
      <c r="F8" s="28" t="n">
        <v>5.5</v>
      </c>
      <c r="G8" s="28" t="n">
        <v>4.5</v>
      </c>
      <c r="H8" s="18">
        <f>IF(OR($B8="",COUNT(D8:G8)=0),"",SUMPRODUCT(D$5:G$5,D8:G8)/SUMPRODUCT(D$5:G$5*ISNUMBER(D8:G8)))</f>
        <v/>
      </c>
      <c r="I8" s="28" t="n">
        <v>5.5</v>
      </c>
      <c r="J8" s="28" t="n">
        <v>6</v>
      </c>
      <c r="K8" s="28" t="n">
        <v>5.5</v>
      </c>
      <c r="L8" s="28" t="n">
        <v>5.5</v>
      </c>
      <c r="M8" s="18">
        <f>IF(OR($B8="",COUNT(I8:L8)=0),"",SUMPRODUCT(I$5:L$5,I8:L8)/SUMPRODUCT(I$5:L$5*ISNUMBER(I8:L8)))</f>
        <v/>
      </c>
      <c r="N8" s="28" t="n">
        <v>3.5</v>
      </c>
      <c r="O8" s="28" t="n">
        <v>4</v>
      </c>
      <c r="P8" s="28" t="n">
        <v>5</v>
      </c>
      <c r="Q8" s="28" t="n">
        <v>4.5</v>
      </c>
      <c r="R8" s="18">
        <f>IF(OR($B8="",COUNT(N8:Q8)=0),"",SUMPRODUCT(N$5:Q$5,N8:Q8)/SUMPRODUCT(N$5:Q$5*ISNUMBER(N8:Q8)))</f>
        <v/>
      </c>
      <c r="S8" s="18">
        <f>IF(OR($B8="",COUNT(H8,M8,R8)=0),"",IFERROR((IF(ISNUMBER(H8),H$5*H8,0)+IF(ISNUMBER(M8),M$5*M8,0)+IF(ISNUMBER(R8),R$5*R8,0))/(IF(ISNUMBER(H8),H$5,0)+IF(ISNUMBER(M8),M$5,0)+IF(ISNUMBER(R8),R$5,0)),""))</f>
        <v/>
      </c>
      <c r="T8" s="29">
        <f>IF(S8="","",ROUND(S8,Criterios!$C$23))</f>
        <v/>
      </c>
      <c r="U8" s="20">
        <f>IF(T8="","",VLOOKUP(T8,Criterios!$F$7:$G$11,2,TRUE))</f>
        <v/>
      </c>
      <c r="V8" s="20">
        <f>IF($B8="","",IF(T8="","Sin notas",IF(AND(ISNUMBER(R8),T8&lt;Criterios!$C$21),"Suspende",IF(T8&lt;Criterios!$C$21+Criterios!$C$22,"En riesgo","Aprueba"))))</f>
        <v/>
      </c>
      <c r="W8" s="11">
        <f>IF($B8="","",COUNTIF(H8,"&lt;"&amp;Criterios!$C$21)+COUNTIF(M8,"&lt;"&amp;Criterios!$C$21)+COUNTIF(R8,"&lt;"&amp;Criterios!$C$21))</f>
        <v/>
      </c>
      <c r="X8" s="17">
        <f>IF(OR($B8="",ISNUMBER(R8),NOT(ISNUMBER(H8)),NOT(ISNUMBER(M8)),R$5=0),"",IF((Criterios!$C$21*(H$5+M$5+R$5)-H$5*H8-M$5*M8)/R$5&lt;=0,"Ya aprueba",IF((Criterios!$C$21*(H$5+M$5+R$5)-H$5*H8-M$5*M8)/R$5&gt;10,"Imposible",ROUND((Criterios!$C$21*(H$5+M$5+R$5)-H$5*H8-M$5*M8)/R$5,2))))</f>
        <v/>
      </c>
      <c r="Y8" s="30">
        <f>IF($B8="","",IF(OR(V8="Suspende",V8="En riesgo"),S8+ROW()/1000000,""))</f>
        <v/>
      </c>
      <c r="Z8" s="30">
        <f>IF(S8="","",S8-ROW()/1000000)</f>
        <v/>
      </c>
    </row>
    <row r="9">
      <c r="B9" s="26" t="inlineStr">
        <is>
          <t>Carmen Soler Vidal</t>
        </is>
      </c>
      <c r="C9" s="27" t="inlineStr">
        <is>
          <t>3.º ESO B</t>
        </is>
      </c>
      <c r="D9" s="28" t="n">
        <v>6.5</v>
      </c>
      <c r="E9" s="28" t="n">
        <v>8</v>
      </c>
      <c r="F9" s="28" t="n">
        <v>7</v>
      </c>
      <c r="G9" s="28" t="n">
        <v>8.5</v>
      </c>
      <c r="H9" s="18">
        <f>IF(OR($B9="",COUNT(D9:G9)=0),"",SUMPRODUCT(D$5:G$5,D9:G9)/SUMPRODUCT(D$5:G$5*ISNUMBER(D9:G9)))</f>
        <v/>
      </c>
      <c r="I9" s="28" t="n">
        <v>7.5</v>
      </c>
      <c r="J9" s="28" t="n">
        <v>9</v>
      </c>
      <c r="K9" s="28" t="n">
        <v>8</v>
      </c>
      <c r="L9" s="28" t="n">
        <v>9</v>
      </c>
      <c r="M9" s="18">
        <f>IF(OR($B9="",COUNT(I9:L9)=0),"",SUMPRODUCT(I$5:L$5,I9:L9)/SUMPRODUCT(I$5:L$5*ISNUMBER(I9:L9)))</f>
        <v/>
      </c>
      <c r="N9" s="28" t="n">
        <v>7.5</v>
      </c>
      <c r="O9" s="28" t="n">
        <v>8.5</v>
      </c>
      <c r="P9" s="28" t="n">
        <v>8</v>
      </c>
      <c r="Q9" s="28" t="n">
        <v>8</v>
      </c>
      <c r="R9" s="18">
        <f>IF(OR($B9="",COUNT(N9:Q9)=0),"",SUMPRODUCT(N$5:Q$5,N9:Q9)/SUMPRODUCT(N$5:Q$5*ISNUMBER(N9:Q9)))</f>
        <v/>
      </c>
      <c r="S9" s="18">
        <f>IF(OR($B9="",COUNT(H9,M9,R9)=0),"",IFERROR((IF(ISNUMBER(H9),H$5*H9,0)+IF(ISNUMBER(M9),M$5*M9,0)+IF(ISNUMBER(R9),R$5*R9,0))/(IF(ISNUMBER(H9),H$5,0)+IF(ISNUMBER(M9),M$5,0)+IF(ISNUMBER(R9),R$5,0)),""))</f>
        <v/>
      </c>
      <c r="T9" s="29">
        <f>IF(S9="","",ROUND(S9,Criterios!$C$23))</f>
        <v/>
      </c>
      <c r="U9" s="20">
        <f>IF(T9="","",VLOOKUP(T9,Criterios!$F$7:$G$11,2,TRUE))</f>
        <v/>
      </c>
      <c r="V9" s="20">
        <f>IF($B9="","",IF(T9="","Sin notas",IF(AND(ISNUMBER(R9),T9&lt;Criterios!$C$21),"Suspende",IF(T9&lt;Criterios!$C$21+Criterios!$C$22,"En riesgo","Aprueba"))))</f>
        <v/>
      </c>
      <c r="W9" s="11">
        <f>IF($B9="","",COUNTIF(H9,"&lt;"&amp;Criterios!$C$21)+COUNTIF(M9,"&lt;"&amp;Criterios!$C$21)+COUNTIF(R9,"&lt;"&amp;Criterios!$C$21))</f>
        <v/>
      </c>
      <c r="X9" s="17">
        <f>IF(OR($B9="",ISNUMBER(R9),NOT(ISNUMBER(H9)),NOT(ISNUMBER(M9)),R$5=0),"",IF((Criterios!$C$21*(H$5+M$5+R$5)-H$5*H9-M$5*M9)/R$5&lt;=0,"Ya aprueba",IF((Criterios!$C$21*(H$5+M$5+R$5)-H$5*H9-M$5*M9)/R$5&gt;10,"Imposible",ROUND((Criterios!$C$21*(H$5+M$5+R$5)-H$5*H9-M$5*M9)/R$5,2))))</f>
        <v/>
      </c>
      <c r="Y9" s="30">
        <f>IF($B9="","",IF(OR(V9="Suspende",V9="En riesgo"),S9+ROW()/1000000,""))</f>
        <v/>
      </c>
      <c r="Z9" s="30">
        <f>IF(S9="","",S9-ROW()/1000000)</f>
        <v/>
      </c>
    </row>
    <row r="10">
      <c r="B10" s="26" t="inlineStr">
        <is>
          <t>Hugo Navarro Lara</t>
        </is>
      </c>
      <c r="C10" s="27" t="inlineStr">
        <is>
          <t>3.º ESO B</t>
        </is>
      </c>
      <c r="D10" s="28" t="n">
        <v>5</v>
      </c>
      <c r="E10" s="28" t="n">
        <v>6</v>
      </c>
      <c r="F10" s="28" t="n">
        <v>5.5</v>
      </c>
      <c r="G10" s="28" t="n">
        <v>5.5</v>
      </c>
      <c r="H10" s="18">
        <f>IF(OR($B10="",COUNT(D10:G10)=0),"",SUMPRODUCT(D$5:G$5,D10:G10)/SUMPRODUCT(D$5:G$5*ISNUMBER(D10:G10)))</f>
        <v/>
      </c>
      <c r="I10" s="28" t="n">
        <v>3.5</v>
      </c>
      <c r="J10" s="28" t="n">
        <v>4.5</v>
      </c>
      <c r="K10" s="28" t="n">
        <v>4.5</v>
      </c>
      <c r="L10" s="28" t="n">
        <v>4.5</v>
      </c>
      <c r="M10" s="18">
        <f>IF(OR($B10="",COUNT(I10:L10)=0),"",SUMPRODUCT(I$5:L$5,I10:L10)/SUMPRODUCT(I$5:L$5*ISNUMBER(I10:L10)))</f>
        <v/>
      </c>
      <c r="N10" s="28" t="n"/>
      <c r="O10" s="28" t="n"/>
      <c r="P10" s="28" t="n"/>
      <c r="Q10" s="28" t="n"/>
      <c r="R10" s="18">
        <f>IF(OR($B10="",COUNT(N10:Q10)=0),"",SUMPRODUCT(N$5:Q$5,N10:Q10)/SUMPRODUCT(N$5:Q$5*ISNUMBER(N10:Q10)))</f>
        <v/>
      </c>
      <c r="S10" s="18">
        <f>IF(OR($B10="",COUNT(H10,M10,R10)=0),"",IFERROR((IF(ISNUMBER(H10),H$5*H10,0)+IF(ISNUMBER(M10),M$5*M10,0)+IF(ISNUMBER(R10),R$5*R10,0))/(IF(ISNUMBER(H10),H$5,0)+IF(ISNUMBER(M10),M$5,0)+IF(ISNUMBER(R10),R$5,0)),""))</f>
        <v/>
      </c>
      <c r="T10" s="29">
        <f>IF(S10="","",ROUND(S10,Criterios!$C$23))</f>
        <v/>
      </c>
      <c r="U10" s="20">
        <f>IF(T10="","",VLOOKUP(T10,Criterios!$F$7:$G$11,2,TRUE))</f>
        <v/>
      </c>
      <c r="V10" s="20">
        <f>IF($B10="","",IF(T10="","Sin notas",IF(AND(ISNUMBER(R10),T10&lt;Criterios!$C$21),"Suspende",IF(T10&lt;Criterios!$C$21+Criterios!$C$22,"En riesgo","Aprueba"))))</f>
        <v/>
      </c>
      <c r="W10" s="11">
        <f>IF($B10="","",COUNTIF(H10,"&lt;"&amp;Criterios!$C$21)+COUNTIF(M10,"&lt;"&amp;Criterios!$C$21)+COUNTIF(R10,"&lt;"&amp;Criterios!$C$21))</f>
        <v/>
      </c>
      <c r="X10" s="17">
        <f>IF(OR($B10="",ISNUMBER(R10),NOT(ISNUMBER(H10)),NOT(ISNUMBER(M10)),R$5=0),"",IF((Criterios!$C$21*(H$5+M$5+R$5)-H$5*H10-M$5*M10)/R$5&lt;=0,"Ya aprueba",IF((Criterios!$C$21*(H$5+M$5+R$5)-H$5*H10-M$5*M10)/R$5&gt;10,"Imposible",ROUND((Criterios!$C$21*(H$5+M$5+R$5)-H$5*H10-M$5*M10)/R$5,2))))</f>
        <v/>
      </c>
      <c r="Y10" s="30">
        <f>IF($B10="","",IF(OR(V10="Suspende",V10="En riesgo"),S10+ROW()/1000000,""))</f>
        <v/>
      </c>
      <c r="Z10" s="30">
        <f>IF(S10="","",S10-ROW()/1000000)</f>
        <v/>
      </c>
    </row>
    <row r="11">
      <c r="B11" s="26" t="inlineStr">
        <is>
          <t>Marta Ibáñez Cruz</t>
        </is>
      </c>
      <c r="C11" s="27" t="inlineStr">
        <is>
          <t>3.º ESO B</t>
        </is>
      </c>
      <c r="D11" s="28" t="n">
        <v>7.5</v>
      </c>
      <c r="E11" s="28" t="n">
        <v>8.5</v>
      </c>
      <c r="F11" s="28" t="n">
        <v>6.5</v>
      </c>
      <c r="G11" s="28" t="n">
        <v>7.5</v>
      </c>
      <c r="H11" s="18">
        <f>IF(OR($B11="",COUNT(D11:G11)=0),"",SUMPRODUCT(D$5:G$5,D11:G11)/SUMPRODUCT(D$5:G$5*ISNUMBER(D11:G11)))</f>
        <v/>
      </c>
      <c r="I11" s="28" t="n">
        <v>8</v>
      </c>
      <c r="J11" s="28" t="n">
        <v>7.5</v>
      </c>
      <c r="K11" s="28" t="n">
        <v>9</v>
      </c>
      <c r="L11" s="28" t="n">
        <v>7.5</v>
      </c>
      <c r="M11" s="18">
        <f>IF(OR($B11="",COUNT(I11:L11)=0),"",SUMPRODUCT(I$5:L$5,I11:L11)/SUMPRODUCT(I$5:L$5*ISNUMBER(I11:L11)))</f>
        <v/>
      </c>
      <c r="N11" s="28" t="n">
        <v>6</v>
      </c>
      <c r="O11" s="28" t="n">
        <v>8</v>
      </c>
      <c r="P11" s="28" t="n">
        <v>8.5</v>
      </c>
      <c r="Q11" s="28" t="n">
        <v>7.5</v>
      </c>
      <c r="R11" s="18">
        <f>IF(OR($B11="",COUNT(N11:Q11)=0),"",SUMPRODUCT(N$5:Q$5,N11:Q11)/SUMPRODUCT(N$5:Q$5*ISNUMBER(N11:Q11)))</f>
        <v/>
      </c>
      <c r="S11" s="18">
        <f>IF(OR($B11="",COUNT(H11,M11,R11)=0),"",IFERROR((IF(ISNUMBER(H11),H$5*H11,0)+IF(ISNUMBER(M11),M$5*M11,0)+IF(ISNUMBER(R11),R$5*R11,0))/(IF(ISNUMBER(H11),H$5,0)+IF(ISNUMBER(M11),M$5,0)+IF(ISNUMBER(R11),R$5,0)),""))</f>
        <v/>
      </c>
      <c r="T11" s="29">
        <f>IF(S11="","",ROUND(S11,Criterios!$C$23))</f>
        <v/>
      </c>
      <c r="U11" s="20">
        <f>IF(T11="","",VLOOKUP(T11,Criterios!$F$7:$G$11,2,TRUE))</f>
        <v/>
      </c>
      <c r="V11" s="20">
        <f>IF($B11="","",IF(T11="","Sin notas",IF(AND(ISNUMBER(R11),T11&lt;Criterios!$C$21),"Suspende",IF(T11&lt;Criterios!$C$21+Criterios!$C$22,"En riesgo","Aprueba"))))</f>
        <v/>
      </c>
      <c r="W11" s="11">
        <f>IF($B11="","",COUNTIF(H11,"&lt;"&amp;Criterios!$C$21)+COUNTIF(M11,"&lt;"&amp;Criterios!$C$21)+COUNTIF(R11,"&lt;"&amp;Criterios!$C$21))</f>
        <v/>
      </c>
      <c r="X11" s="17">
        <f>IF(OR($B11="",ISNUMBER(R11),NOT(ISNUMBER(H11)),NOT(ISNUMBER(M11)),R$5=0),"",IF((Criterios!$C$21*(H$5+M$5+R$5)-H$5*H11-M$5*M11)/R$5&lt;=0,"Ya aprueba",IF((Criterios!$C$21*(H$5+M$5+R$5)-H$5*H11-M$5*M11)/R$5&gt;10,"Imposible",ROUND((Criterios!$C$21*(H$5+M$5+R$5)-H$5*H11-M$5*M11)/R$5,2))))</f>
        <v/>
      </c>
      <c r="Y11" s="30">
        <f>IF($B11="","",IF(OR(V11="Suspende",V11="En riesgo"),S11+ROW()/1000000,""))</f>
        <v/>
      </c>
      <c r="Z11" s="30">
        <f>IF(S11="","",S11-ROW()/1000000)</f>
        <v/>
      </c>
    </row>
    <row r="12">
      <c r="B12" s="26" t="inlineStr">
        <is>
          <t>Daniel Rubio Pardo</t>
        </is>
      </c>
      <c r="C12" s="27" t="inlineStr">
        <is>
          <t>3.º ESO B</t>
        </is>
      </c>
      <c r="D12" s="28" t="n">
        <v>7</v>
      </c>
      <c r="E12" s="28" t="n">
        <v>8.5</v>
      </c>
      <c r="F12" s="28" t="n">
        <v>10</v>
      </c>
      <c r="G12" s="28" t="n">
        <v>9.5</v>
      </c>
      <c r="H12" s="18">
        <f>IF(OR($B12="",COUNT(D12:G12)=0),"",SUMPRODUCT(D$5:G$5,D12:G12)/SUMPRODUCT(D$5:G$5*ISNUMBER(D12:G12)))</f>
        <v/>
      </c>
      <c r="I12" s="28" t="n">
        <v>7</v>
      </c>
      <c r="J12" s="28" t="n">
        <v>8.5</v>
      </c>
      <c r="K12" s="28" t="n">
        <v>8</v>
      </c>
      <c r="L12" s="28" t="n">
        <v>8</v>
      </c>
      <c r="M12" s="18">
        <f>IF(OR($B12="",COUNT(I12:L12)=0),"",SUMPRODUCT(I$5:L$5,I12:L12)/SUMPRODUCT(I$5:L$5*ISNUMBER(I12:L12)))</f>
        <v/>
      </c>
      <c r="N12" s="28" t="n">
        <v>9</v>
      </c>
      <c r="O12" s="28" t="n">
        <v>8.5</v>
      </c>
      <c r="P12" s="28" t="n">
        <v>9</v>
      </c>
      <c r="Q12" s="28" t="n">
        <v>9</v>
      </c>
      <c r="R12" s="18">
        <f>IF(OR($B12="",COUNT(N12:Q12)=0),"",SUMPRODUCT(N$5:Q$5,N12:Q12)/SUMPRODUCT(N$5:Q$5*ISNUMBER(N12:Q12)))</f>
        <v/>
      </c>
      <c r="S12" s="18">
        <f>IF(OR($B12="",COUNT(H12,M12,R12)=0),"",IFERROR((IF(ISNUMBER(H12),H$5*H12,0)+IF(ISNUMBER(M12),M$5*M12,0)+IF(ISNUMBER(R12),R$5*R12,0))/(IF(ISNUMBER(H12),H$5,0)+IF(ISNUMBER(M12),M$5,0)+IF(ISNUMBER(R12),R$5,0)),""))</f>
        <v/>
      </c>
      <c r="T12" s="29">
        <f>IF(S12="","",ROUND(S12,Criterios!$C$23))</f>
        <v/>
      </c>
      <c r="U12" s="20">
        <f>IF(T12="","",VLOOKUP(T12,Criterios!$F$7:$G$11,2,TRUE))</f>
        <v/>
      </c>
      <c r="V12" s="20">
        <f>IF($B12="","",IF(T12="","Sin notas",IF(AND(ISNUMBER(R12),T12&lt;Criterios!$C$21),"Suspende",IF(T12&lt;Criterios!$C$21+Criterios!$C$22,"En riesgo","Aprueba"))))</f>
        <v/>
      </c>
      <c r="W12" s="11">
        <f>IF($B12="","",COUNTIF(H12,"&lt;"&amp;Criterios!$C$21)+COUNTIF(M12,"&lt;"&amp;Criterios!$C$21)+COUNTIF(R12,"&lt;"&amp;Criterios!$C$21))</f>
        <v/>
      </c>
      <c r="X12" s="17">
        <f>IF(OR($B12="",ISNUMBER(R12),NOT(ISNUMBER(H12)),NOT(ISNUMBER(M12)),R$5=0),"",IF((Criterios!$C$21*(H$5+M$5+R$5)-H$5*H12-M$5*M12)/R$5&lt;=0,"Ya aprueba",IF((Criterios!$C$21*(H$5+M$5+R$5)-H$5*H12-M$5*M12)/R$5&gt;10,"Imposible",ROUND((Criterios!$C$21*(H$5+M$5+R$5)-H$5*H12-M$5*M12)/R$5,2))))</f>
        <v/>
      </c>
      <c r="Y12" s="30">
        <f>IF($B12="","",IF(OR(V12="Suspende",V12="En riesgo"),S12+ROW()/1000000,""))</f>
        <v/>
      </c>
      <c r="Z12" s="30">
        <f>IF(S12="","",S12-ROW()/1000000)</f>
        <v/>
      </c>
    </row>
    <row r="13">
      <c r="B13" s="26" t="inlineStr">
        <is>
          <t>Sofía Campos Gil</t>
        </is>
      </c>
      <c r="C13" s="27" t="inlineStr">
        <is>
          <t>3.º ESO B</t>
        </is>
      </c>
      <c r="D13" s="28" t="n">
        <v>8.5</v>
      </c>
      <c r="E13" s="28" t="n">
        <v>10</v>
      </c>
      <c r="F13" s="28" t="n">
        <v>9.5</v>
      </c>
      <c r="G13" s="28" t="n">
        <v>10</v>
      </c>
      <c r="H13" s="18">
        <f>IF(OR($B13="",COUNT(D13:G13)=0),"",SUMPRODUCT(D$5:G$5,D13:G13)/SUMPRODUCT(D$5:G$5*ISNUMBER(D13:G13)))</f>
        <v/>
      </c>
      <c r="I13" s="28" t="n">
        <v>8.5</v>
      </c>
      <c r="J13" s="28" t="n">
        <v>10</v>
      </c>
      <c r="K13" s="28" t="n">
        <v>9.5</v>
      </c>
      <c r="L13" s="28" t="n">
        <v>10</v>
      </c>
      <c r="M13" s="18">
        <f>IF(OR($B13="",COUNT(I13:L13)=0),"",SUMPRODUCT(I$5:L$5,I13:L13)/SUMPRODUCT(I$5:L$5*ISNUMBER(I13:L13)))</f>
        <v/>
      </c>
      <c r="N13" s="28" t="n">
        <v>10</v>
      </c>
      <c r="O13" s="28" t="n">
        <v>10</v>
      </c>
      <c r="P13" s="28" t="n">
        <v>9.5</v>
      </c>
      <c r="Q13" s="28" t="n">
        <v>10</v>
      </c>
      <c r="R13" s="18">
        <f>IF(OR($B13="",COUNT(N13:Q13)=0),"",SUMPRODUCT(N$5:Q$5,N13:Q13)/SUMPRODUCT(N$5:Q$5*ISNUMBER(N13:Q13)))</f>
        <v/>
      </c>
      <c r="S13" s="18">
        <f>IF(OR($B13="",COUNT(H13,M13,R13)=0),"",IFERROR((IF(ISNUMBER(H13),H$5*H13,0)+IF(ISNUMBER(M13),M$5*M13,0)+IF(ISNUMBER(R13),R$5*R13,0))/(IF(ISNUMBER(H13),H$5,0)+IF(ISNUMBER(M13),M$5,0)+IF(ISNUMBER(R13),R$5,0)),""))</f>
        <v/>
      </c>
      <c r="T13" s="29">
        <f>IF(S13="","",ROUND(S13,Criterios!$C$23))</f>
        <v/>
      </c>
      <c r="U13" s="20">
        <f>IF(T13="","",VLOOKUP(T13,Criterios!$F$7:$G$11,2,TRUE))</f>
        <v/>
      </c>
      <c r="V13" s="20">
        <f>IF($B13="","",IF(T13="","Sin notas",IF(AND(ISNUMBER(R13),T13&lt;Criterios!$C$21),"Suspende",IF(T13&lt;Criterios!$C$21+Criterios!$C$22,"En riesgo","Aprueba"))))</f>
        <v/>
      </c>
      <c r="W13" s="11">
        <f>IF($B13="","",COUNTIF(H13,"&lt;"&amp;Criterios!$C$21)+COUNTIF(M13,"&lt;"&amp;Criterios!$C$21)+COUNTIF(R13,"&lt;"&amp;Criterios!$C$21))</f>
        <v/>
      </c>
      <c r="X13" s="17">
        <f>IF(OR($B13="",ISNUMBER(R13),NOT(ISNUMBER(H13)),NOT(ISNUMBER(M13)),R$5=0),"",IF((Criterios!$C$21*(H$5+M$5+R$5)-H$5*H13-M$5*M13)/R$5&lt;=0,"Ya aprueba",IF((Criterios!$C$21*(H$5+M$5+R$5)-H$5*H13-M$5*M13)/R$5&gt;10,"Imposible",ROUND((Criterios!$C$21*(H$5+M$5+R$5)-H$5*H13-M$5*M13)/R$5,2))))</f>
        <v/>
      </c>
      <c r="Y13" s="30">
        <f>IF($B13="","",IF(OR(V13="Suspende",V13="En riesgo"),S13+ROW()/1000000,""))</f>
        <v/>
      </c>
      <c r="Z13" s="30">
        <f>IF(S13="","",S13-ROW()/1000000)</f>
        <v/>
      </c>
    </row>
    <row r="14">
      <c r="B14" s="26" t="inlineStr">
        <is>
          <t>Álvaro Herrero Sanz</t>
        </is>
      </c>
      <c r="C14" s="27" t="inlineStr">
        <is>
          <t>3.º ESO B</t>
        </is>
      </c>
      <c r="D14" s="28" t="n">
        <v>4</v>
      </c>
      <c r="E14" s="28" t="n">
        <v>5.5</v>
      </c>
      <c r="F14" s="28" t="n">
        <v>6.5</v>
      </c>
      <c r="G14" s="28" t="n">
        <v>6</v>
      </c>
      <c r="H14" s="18">
        <f>IF(OR($B14="",COUNT(D14:G14)=0),"",SUMPRODUCT(D$5:G$5,D14:G14)/SUMPRODUCT(D$5:G$5*ISNUMBER(D14:G14)))</f>
        <v/>
      </c>
      <c r="I14" s="28" t="n">
        <v>4</v>
      </c>
      <c r="J14" s="28" t="n">
        <v>7</v>
      </c>
      <c r="K14" s="28" t="n">
        <v>5</v>
      </c>
      <c r="L14" s="28" t="n">
        <v>5.5</v>
      </c>
      <c r="M14" s="18">
        <f>IF(OR($B14="",COUNT(I14:L14)=0),"",SUMPRODUCT(I$5:L$5,I14:L14)/SUMPRODUCT(I$5:L$5*ISNUMBER(I14:L14)))</f>
        <v/>
      </c>
      <c r="N14" s="28" t="n"/>
      <c r="O14" s="28" t="n"/>
      <c r="P14" s="28" t="n"/>
      <c r="Q14" s="28" t="n"/>
      <c r="R14" s="18">
        <f>IF(OR($B14="",COUNT(N14:Q14)=0),"",SUMPRODUCT(N$5:Q$5,N14:Q14)/SUMPRODUCT(N$5:Q$5*ISNUMBER(N14:Q14)))</f>
        <v/>
      </c>
      <c r="S14" s="18">
        <f>IF(OR($B14="",COUNT(H14,M14,R14)=0),"",IFERROR((IF(ISNUMBER(H14),H$5*H14,0)+IF(ISNUMBER(M14),M$5*M14,0)+IF(ISNUMBER(R14),R$5*R14,0))/(IF(ISNUMBER(H14),H$5,0)+IF(ISNUMBER(M14),M$5,0)+IF(ISNUMBER(R14),R$5,0)),""))</f>
        <v/>
      </c>
      <c r="T14" s="29">
        <f>IF(S14="","",ROUND(S14,Criterios!$C$23))</f>
        <v/>
      </c>
      <c r="U14" s="20">
        <f>IF(T14="","",VLOOKUP(T14,Criterios!$F$7:$G$11,2,TRUE))</f>
        <v/>
      </c>
      <c r="V14" s="20">
        <f>IF($B14="","",IF(T14="","Sin notas",IF(AND(ISNUMBER(R14),T14&lt;Criterios!$C$21),"Suspende",IF(T14&lt;Criterios!$C$21+Criterios!$C$22,"En riesgo","Aprueba"))))</f>
        <v/>
      </c>
      <c r="W14" s="11">
        <f>IF($B14="","",COUNTIF(H14,"&lt;"&amp;Criterios!$C$21)+COUNTIF(M14,"&lt;"&amp;Criterios!$C$21)+COUNTIF(R14,"&lt;"&amp;Criterios!$C$21))</f>
        <v/>
      </c>
      <c r="X14" s="17">
        <f>IF(OR($B14="",ISNUMBER(R14),NOT(ISNUMBER(H14)),NOT(ISNUMBER(M14)),R$5=0),"",IF((Criterios!$C$21*(H$5+M$5+R$5)-H$5*H14-M$5*M14)/R$5&lt;=0,"Ya aprueba",IF((Criterios!$C$21*(H$5+M$5+R$5)-H$5*H14-M$5*M14)/R$5&gt;10,"Imposible",ROUND((Criterios!$C$21*(H$5+M$5+R$5)-H$5*H14-M$5*M14)/R$5,2))))</f>
        <v/>
      </c>
      <c r="Y14" s="30">
        <f>IF($B14="","",IF(OR(V14="Suspende",V14="En riesgo"),S14+ROW()/1000000,""))</f>
        <v/>
      </c>
      <c r="Z14" s="30">
        <f>IF(S14="","",S14-ROW()/1000000)</f>
        <v/>
      </c>
    </row>
    <row r="15">
      <c r="B15" s="26" t="inlineStr">
        <is>
          <t>Noa Prieto Vega</t>
        </is>
      </c>
      <c r="C15" s="27" t="inlineStr">
        <is>
          <t>3.º ESO B</t>
        </is>
      </c>
      <c r="D15" s="28" t="n">
        <v>7</v>
      </c>
      <c r="E15" s="28" t="n">
        <v>9.5</v>
      </c>
      <c r="F15" s="28" t="n">
        <v>8.5</v>
      </c>
      <c r="G15" s="28" t="n">
        <v>9.5</v>
      </c>
      <c r="H15" s="18">
        <f>IF(OR($B15="",COUNT(D15:G15)=0),"",SUMPRODUCT(D$5:G$5,D15:G15)/SUMPRODUCT(D$5:G$5*ISNUMBER(D15:G15)))</f>
        <v/>
      </c>
      <c r="I15" s="28" t="n">
        <v>8</v>
      </c>
      <c r="J15" s="28" t="n">
        <v>9</v>
      </c>
      <c r="K15" s="28" t="n">
        <v>10</v>
      </c>
      <c r="L15" s="28" t="n">
        <v>9.5</v>
      </c>
      <c r="M15" s="18">
        <f>IF(OR($B15="",COUNT(I15:L15)=0),"",SUMPRODUCT(I$5:L$5,I15:L15)/SUMPRODUCT(I$5:L$5*ISNUMBER(I15:L15)))</f>
        <v/>
      </c>
      <c r="N15" s="28" t="n">
        <v>8.5</v>
      </c>
      <c r="O15" s="28" t="n">
        <v>10</v>
      </c>
      <c r="P15" s="28" t="n">
        <v>8.5</v>
      </c>
      <c r="Q15" s="28" t="n">
        <v>8.5</v>
      </c>
      <c r="R15" s="18">
        <f>IF(OR($B15="",COUNT(N15:Q15)=0),"",SUMPRODUCT(N$5:Q$5,N15:Q15)/SUMPRODUCT(N$5:Q$5*ISNUMBER(N15:Q15)))</f>
        <v/>
      </c>
      <c r="S15" s="18">
        <f>IF(OR($B15="",COUNT(H15,M15,R15)=0),"",IFERROR((IF(ISNUMBER(H15),H$5*H15,0)+IF(ISNUMBER(M15),M$5*M15,0)+IF(ISNUMBER(R15),R$5*R15,0))/(IF(ISNUMBER(H15),H$5,0)+IF(ISNUMBER(M15),M$5,0)+IF(ISNUMBER(R15),R$5,0)),""))</f>
        <v/>
      </c>
      <c r="T15" s="29">
        <f>IF(S15="","",ROUND(S15,Criterios!$C$23))</f>
        <v/>
      </c>
      <c r="U15" s="20">
        <f>IF(T15="","",VLOOKUP(T15,Criterios!$F$7:$G$11,2,TRUE))</f>
        <v/>
      </c>
      <c r="V15" s="20">
        <f>IF($B15="","",IF(T15="","Sin notas",IF(AND(ISNUMBER(R15),T15&lt;Criterios!$C$21),"Suspende",IF(T15&lt;Criterios!$C$21+Criterios!$C$22,"En riesgo","Aprueba"))))</f>
        <v/>
      </c>
      <c r="W15" s="11">
        <f>IF($B15="","",COUNTIF(H15,"&lt;"&amp;Criterios!$C$21)+COUNTIF(M15,"&lt;"&amp;Criterios!$C$21)+COUNTIF(R15,"&lt;"&amp;Criterios!$C$21))</f>
        <v/>
      </c>
      <c r="X15" s="17">
        <f>IF(OR($B15="",ISNUMBER(R15),NOT(ISNUMBER(H15)),NOT(ISNUMBER(M15)),R$5=0),"",IF((Criterios!$C$21*(H$5+M$5+R$5)-H$5*H15-M$5*M15)/R$5&lt;=0,"Ya aprueba",IF((Criterios!$C$21*(H$5+M$5+R$5)-H$5*H15-M$5*M15)/R$5&gt;10,"Imposible",ROUND((Criterios!$C$21*(H$5+M$5+R$5)-H$5*H15-M$5*M15)/R$5,2))))</f>
        <v/>
      </c>
      <c r="Y15" s="30">
        <f>IF($B15="","",IF(OR(V15="Suspende",V15="En riesgo"),S15+ROW()/1000000,""))</f>
        <v/>
      </c>
      <c r="Z15" s="30">
        <f>IF(S15="","",S15-ROW()/1000000)</f>
        <v/>
      </c>
    </row>
    <row r="16">
      <c r="B16" s="26" t="inlineStr">
        <is>
          <t>Mateo Cano Ríos</t>
        </is>
      </c>
      <c r="C16" s="27" t="inlineStr">
        <is>
          <t>3.º ESO B</t>
        </is>
      </c>
      <c r="D16" s="28" t="n">
        <v>7</v>
      </c>
      <c r="E16" s="28" t="n">
        <v>7.5</v>
      </c>
      <c r="F16" s="28" t="n">
        <v>6.5</v>
      </c>
      <c r="G16" s="28" t="n">
        <v>6.5</v>
      </c>
      <c r="H16" s="18">
        <f>IF(OR($B16="",COUNT(D16:G16)=0),"",SUMPRODUCT(D$5:G$5,D16:G16)/SUMPRODUCT(D$5:G$5*ISNUMBER(D16:G16)))</f>
        <v/>
      </c>
      <c r="I16" s="28" t="n">
        <v>6.5</v>
      </c>
      <c r="J16" s="28" t="n">
        <v>8</v>
      </c>
      <c r="K16" s="28" t="n">
        <v>6</v>
      </c>
      <c r="L16" s="28" t="n">
        <v>8</v>
      </c>
      <c r="M16" s="18">
        <f>IF(OR($B16="",COUNT(I16:L16)=0),"",SUMPRODUCT(I$5:L$5,I16:L16)/SUMPRODUCT(I$5:L$5*ISNUMBER(I16:L16)))</f>
        <v/>
      </c>
      <c r="N16" s="28" t="n">
        <v>7</v>
      </c>
      <c r="O16" s="28" t="n"/>
      <c r="P16" s="28" t="n"/>
      <c r="Q16" s="28" t="n"/>
      <c r="R16" s="18">
        <f>IF(OR($B16="",COUNT(N16:Q16)=0),"",SUMPRODUCT(N$5:Q$5,N16:Q16)/SUMPRODUCT(N$5:Q$5*ISNUMBER(N16:Q16)))</f>
        <v/>
      </c>
      <c r="S16" s="18">
        <f>IF(OR($B16="",COUNT(H16,M16,R16)=0),"",IFERROR((IF(ISNUMBER(H16),H$5*H16,0)+IF(ISNUMBER(M16),M$5*M16,0)+IF(ISNUMBER(R16),R$5*R16,0))/(IF(ISNUMBER(H16),H$5,0)+IF(ISNUMBER(M16),M$5,0)+IF(ISNUMBER(R16),R$5,0)),""))</f>
        <v/>
      </c>
      <c r="T16" s="29">
        <f>IF(S16="","",ROUND(S16,Criterios!$C$23))</f>
        <v/>
      </c>
      <c r="U16" s="20">
        <f>IF(T16="","",VLOOKUP(T16,Criterios!$F$7:$G$11,2,TRUE))</f>
        <v/>
      </c>
      <c r="V16" s="20">
        <f>IF($B16="","",IF(T16="","Sin notas",IF(AND(ISNUMBER(R16),T16&lt;Criterios!$C$21),"Suspende",IF(T16&lt;Criterios!$C$21+Criterios!$C$22,"En riesgo","Aprueba"))))</f>
        <v/>
      </c>
      <c r="W16" s="11">
        <f>IF($B16="","",COUNTIF(H16,"&lt;"&amp;Criterios!$C$21)+COUNTIF(M16,"&lt;"&amp;Criterios!$C$21)+COUNTIF(R16,"&lt;"&amp;Criterios!$C$21))</f>
        <v/>
      </c>
      <c r="X16" s="17">
        <f>IF(OR($B16="",ISNUMBER(R16),NOT(ISNUMBER(H16)),NOT(ISNUMBER(M16)),R$5=0),"",IF((Criterios!$C$21*(H$5+M$5+R$5)-H$5*H16-M$5*M16)/R$5&lt;=0,"Ya aprueba",IF((Criterios!$C$21*(H$5+M$5+R$5)-H$5*H16-M$5*M16)/R$5&gt;10,"Imposible",ROUND((Criterios!$C$21*(H$5+M$5+R$5)-H$5*H16-M$5*M16)/R$5,2))))</f>
        <v/>
      </c>
      <c r="Y16" s="30">
        <f>IF($B16="","",IF(OR(V16="Suspende",V16="En riesgo"),S16+ROW()/1000000,""))</f>
        <v/>
      </c>
      <c r="Z16" s="30">
        <f>IF(S16="","",S16-ROW()/1000000)</f>
        <v/>
      </c>
    </row>
    <row r="17">
      <c r="B17" s="26" t="inlineStr">
        <is>
          <t>Irene Salas Mora</t>
        </is>
      </c>
      <c r="C17" s="27" t="inlineStr">
        <is>
          <t>3.º ESO B</t>
        </is>
      </c>
      <c r="D17" s="28" t="n">
        <v>6</v>
      </c>
      <c r="E17" s="28" t="n">
        <v>9</v>
      </c>
      <c r="F17" s="28" t="n">
        <v>7.5</v>
      </c>
      <c r="G17" s="28" t="n">
        <v>8.5</v>
      </c>
      <c r="H17" s="18">
        <f>IF(OR($B17="",COUNT(D17:G17)=0),"",SUMPRODUCT(D$5:G$5,D17:G17)/SUMPRODUCT(D$5:G$5*ISNUMBER(D17:G17)))</f>
        <v/>
      </c>
      <c r="I17" s="28" t="n">
        <v>6.5</v>
      </c>
      <c r="J17" s="28" t="n">
        <v>8.5</v>
      </c>
      <c r="K17" s="28" t="n">
        <v>8</v>
      </c>
      <c r="L17" s="28" t="n">
        <v>8</v>
      </c>
      <c r="M17" s="18">
        <f>IF(OR($B17="",COUNT(I17:L17)=0),"",SUMPRODUCT(I$5:L$5,I17:L17)/SUMPRODUCT(I$5:L$5*ISNUMBER(I17:L17)))</f>
        <v/>
      </c>
      <c r="N17" s="28" t="n">
        <v>6.5</v>
      </c>
      <c r="O17" s="28" t="n">
        <v>8.5</v>
      </c>
      <c r="P17" s="28" t="n">
        <v>7</v>
      </c>
      <c r="Q17" s="28" t="n">
        <v>7.5</v>
      </c>
      <c r="R17" s="18">
        <f>IF(OR($B17="",COUNT(N17:Q17)=0),"",SUMPRODUCT(N$5:Q$5,N17:Q17)/SUMPRODUCT(N$5:Q$5*ISNUMBER(N17:Q17)))</f>
        <v/>
      </c>
      <c r="S17" s="18">
        <f>IF(OR($B17="",COUNT(H17,M17,R17)=0),"",IFERROR((IF(ISNUMBER(H17),H$5*H17,0)+IF(ISNUMBER(M17),M$5*M17,0)+IF(ISNUMBER(R17),R$5*R17,0))/(IF(ISNUMBER(H17),H$5,0)+IF(ISNUMBER(M17),M$5,0)+IF(ISNUMBER(R17),R$5,0)),""))</f>
        <v/>
      </c>
      <c r="T17" s="29">
        <f>IF(S17="","",ROUND(S17,Criterios!$C$23))</f>
        <v/>
      </c>
      <c r="U17" s="20">
        <f>IF(T17="","",VLOOKUP(T17,Criterios!$F$7:$G$11,2,TRUE))</f>
        <v/>
      </c>
      <c r="V17" s="20">
        <f>IF($B17="","",IF(T17="","Sin notas",IF(AND(ISNUMBER(R17),T17&lt;Criterios!$C$21),"Suspende",IF(T17&lt;Criterios!$C$21+Criterios!$C$22,"En riesgo","Aprueba"))))</f>
        <v/>
      </c>
      <c r="W17" s="11">
        <f>IF($B17="","",COUNTIF(H17,"&lt;"&amp;Criterios!$C$21)+COUNTIF(M17,"&lt;"&amp;Criterios!$C$21)+COUNTIF(R17,"&lt;"&amp;Criterios!$C$21))</f>
        <v/>
      </c>
      <c r="X17" s="17">
        <f>IF(OR($B17="",ISNUMBER(R17),NOT(ISNUMBER(H17)),NOT(ISNUMBER(M17)),R$5=0),"",IF((Criterios!$C$21*(H$5+M$5+R$5)-H$5*H17-M$5*M17)/R$5&lt;=0,"Ya aprueba",IF((Criterios!$C$21*(H$5+M$5+R$5)-H$5*H17-M$5*M17)/R$5&gt;10,"Imposible",ROUND((Criterios!$C$21*(H$5+M$5+R$5)-H$5*H17-M$5*M17)/R$5,2))))</f>
        <v/>
      </c>
      <c r="Y17" s="30">
        <f>IF($B17="","",IF(OR(V17="Suspende",V17="En riesgo"),S17+ROW()/1000000,""))</f>
        <v/>
      </c>
      <c r="Z17" s="30">
        <f>IF(S17="","",S17-ROW()/1000000)</f>
        <v/>
      </c>
    </row>
    <row r="18">
      <c r="B18" s="26" t="inlineStr">
        <is>
          <t>Adrián Lozano Peña</t>
        </is>
      </c>
      <c r="C18" s="27" t="inlineStr">
        <is>
          <t>3.º ESO B</t>
        </is>
      </c>
      <c r="D18" s="28" t="n">
        <v>5</v>
      </c>
      <c r="E18" s="28" t="n">
        <v>7</v>
      </c>
      <c r="F18" s="28" t="n">
        <v>6</v>
      </c>
      <c r="G18" s="28" t="n">
        <v>6</v>
      </c>
      <c r="H18" s="18">
        <f>IF(OR($B18="",COUNT(D18:G18)=0),"",SUMPRODUCT(D$5:G$5,D18:G18)/SUMPRODUCT(D$5:G$5*ISNUMBER(D18:G18)))</f>
        <v/>
      </c>
      <c r="I18" s="28" t="n">
        <v>6</v>
      </c>
      <c r="J18" s="28" t="n">
        <v>5.5</v>
      </c>
      <c r="K18" s="28" t="n">
        <v>4.5</v>
      </c>
      <c r="L18" s="28" t="n">
        <v>5.5</v>
      </c>
      <c r="M18" s="18">
        <f>IF(OR($B18="",COUNT(I18:L18)=0),"",SUMPRODUCT(I$5:L$5,I18:L18)/SUMPRODUCT(I$5:L$5*ISNUMBER(I18:L18)))</f>
        <v/>
      </c>
      <c r="N18" s="28" t="n"/>
      <c r="O18" s="28" t="n"/>
      <c r="P18" s="28" t="n"/>
      <c r="Q18" s="28" t="n"/>
      <c r="R18" s="18">
        <f>IF(OR($B18="",COUNT(N18:Q18)=0),"",SUMPRODUCT(N$5:Q$5,N18:Q18)/SUMPRODUCT(N$5:Q$5*ISNUMBER(N18:Q18)))</f>
        <v/>
      </c>
      <c r="S18" s="18">
        <f>IF(OR($B18="",COUNT(H18,M18,R18)=0),"",IFERROR((IF(ISNUMBER(H18),H$5*H18,0)+IF(ISNUMBER(M18),M$5*M18,0)+IF(ISNUMBER(R18),R$5*R18,0))/(IF(ISNUMBER(H18),H$5,0)+IF(ISNUMBER(M18),M$5,0)+IF(ISNUMBER(R18),R$5,0)),""))</f>
        <v/>
      </c>
      <c r="T18" s="29">
        <f>IF(S18="","",ROUND(S18,Criterios!$C$23))</f>
        <v/>
      </c>
      <c r="U18" s="20">
        <f>IF(T18="","",VLOOKUP(T18,Criterios!$F$7:$G$11,2,TRUE))</f>
        <v/>
      </c>
      <c r="V18" s="20">
        <f>IF($B18="","",IF(T18="","Sin notas",IF(AND(ISNUMBER(R18),T18&lt;Criterios!$C$21),"Suspende",IF(T18&lt;Criterios!$C$21+Criterios!$C$22,"En riesgo","Aprueba"))))</f>
        <v/>
      </c>
      <c r="W18" s="11">
        <f>IF($B18="","",COUNTIF(H18,"&lt;"&amp;Criterios!$C$21)+COUNTIF(M18,"&lt;"&amp;Criterios!$C$21)+COUNTIF(R18,"&lt;"&amp;Criterios!$C$21))</f>
        <v/>
      </c>
      <c r="X18" s="17">
        <f>IF(OR($B18="",ISNUMBER(R18),NOT(ISNUMBER(H18)),NOT(ISNUMBER(M18)),R$5=0),"",IF((Criterios!$C$21*(H$5+M$5+R$5)-H$5*H18-M$5*M18)/R$5&lt;=0,"Ya aprueba",IF((Criterios!$C$21*(H$5+M$5+R$5)-H$5*H18-M$5*M18)/R$5&gt;10,"Imposible",ROUND((Criterios!$C$21*(H$5+M$5+R$5)-H$5*H18-M$5*M18)/R$5,2))))</f>
        <v/>
      </c>
      <c r="Y18" s="30">
        <f>IF($B18="","",IF(OR(V18="Suspende",V18="En riesgo"),S18+ROW()/1000000,""))</f>
        <v/>
      </c>
      <c r="Z18" s="30">
        <f>IF(S18="","",S18-ROW()/1000000)</f>
        <v/>
      </c>
    </row>
    <row r="19">
      <c r="B19" s="26" t="n"/>
      <c r="C19" s="27" t="n"/>
      <c r="D19" s="28" t="n"/>
      <c r="E19" s="28" t="n"/>
      <c r="F19" s="28" t="n"/>
      <c r="G19" s="28" t="n"/>
      <c r="H19" s="18">
        <f>IF(OR($B19="",COUNT(D19:G19)=0),"",SUMPRODUCT(D$5:G$5,D19:G19)/SUMPRODUCT(D$5:G$5*ISNUMBER(D19:G19)))</f>
        <v/>
      </c>
      <c r="I19" s="28" t="n"/>
      <c r="J19" s="28" t="n"/>
      <c r="K19" s="28" t="n"/>
      <c r="L19" s="28" t="n"/>
      <c r="M19" s="18">
        <f>IF(OR($B19="",COUNT(I19:L19)=0),"",SUMPRODUCT(I$5:L$5,I19:L19)/SUMPRODUCT(I$5:L$5*ISNUMBER(I19:L19)))</f>
        <v/>
      </c>
      <c r="N19" s="28" t="n"/>
      <c r="O19" s="28" t="n"/>
      <c r="P19" s="28" t="n"/>
      <c r="Q19" s="28" t="n"/>
      <c r="R19" s="18">
        <f>IF(OR($B19="",COUNT(N19:Q19)=0),"",SUMPRODUCT(N$5:Q$5,N19:Q19)/SUMPRODUCT(N$5:Q$5*ISNUMBER(N19:Q19)))</f>
        <v/>
      </c>
      <c r="S19" s="18">
        <f>IF(OR($B19="",COUNT(H19,M19,R19)=0),"",IFERROR((IF(ISNUMBER(H19),H$5*H19,0)+IF(ISNUMBER(M19),M$5*M19,0)+IF(ISNUMBER(R19),R$5*R19,0))/(IF(ISNUMBER(H19),H$5,0)+IF(ISNUMBER(M19),M$5,0)+IF(ISNUMBER(R19),R$5,0)),""))</f>
        <v/>
      </c>
      <c r="T19" s="29">
        <f>IF(S19="","",ROUND(S19,Criterios!$C$23))</f>
        <v/>
      </c>
      <c r="U19" s="20">
        <f>IF(T19="","",VLOOKUP(T19,Criterios!$F$7:$G$11,2,TRUE))</f>
        <v/>
      </c>
      <c r="V19" s="20">
        <f>IF($B19="","",IF(T19="","Sin notas",IF(AND(ISNUMBER(R19),T19&lt;Criterios!$C$21),"Suspende",IF(T19&lt;Criterios!$C$21+Criterios!$C$22,"En riesgo","Aprueba"))))</f>
        <v/>
      </c>
      <c r="W19" s="11">
        <f>IF($B19="","",COUNTIF(H19,"&lt;"&amp;Criterios!$C$21)+COUNTIF(M19,"&lt;"&amp;Criterios!$C$21)+COUNTIF(R19,"&lt;"&amp;Criterios!$C$21))</f>
        <v/>
      </c>
      <c r="X19" s="17">
        <f>IF(OR($B19="",ISNUMBER(R19),NOT(ISNUMBER(H19)),NOT(ISNUMBER(M19)),R$5=0),"",IF((Criterios!$C$21*(H$5+M$5+R$5)-H$5*H19-M$5*M19)/R$5&lt;=0,"Ya aprueba",IF((Criterios!$C$21*(H$5+M$5+R$5)-H$5*H19-M$5*M19)/R$5&gt;10,"Imposible",ROUND((Criterios!$C$21*(H$5+M$5+R$5)-H$5*H19-M$5*M19)/R$5,2))))</f>
        <v/>
      </c>
      <c r="Y19" s="30">
        <f>IF($B19="","",IF(OR(V19="Suspende",V19="En riesgo"),S19+ROW()/1000000,""))</f>
        <v/>
      </c>
      <c r="Z19" s="30">
        <f>IF(S19="","",S19-ROW()/1000000)</f>
        <v/>
      </c>
    </row>
    <row r="20">
      <c r="B20" s="26" t="n"/>
      <c r="C20" s="27" t="n"/>
      <c r="D20" s="28" t="n"/>
      <c r="E20" s="28" t="n"/>
      <c r="F20" s="28" t="n"/>
      <c r="G20" s="28" t="n"/>
      <c r="H20" s="18">
        <f>IF(OR($B20="",COUNT(D20:G20)=0),"",SUMPRODUCT(D$5:G$5,D20:G20)/SUMPRODUCT(D$5:G$5*ISNUMBER(D20:G20)))</f>
        <v/>
      </c>
      <c r="I20" s="28" t="n"/>
      <c r="J20" s="28" t="n"/>
      <c r="K20" s="28" t="n"/>
      <c r="L20" s="28" t="n"/>
      <c r="M20" s="18">
        <f>IF(OR($B20="",COUNT(I20:L20)=0),"",SUMPRODUCT(I$5:L$5,I20:L20)/SUMPRODUCT(I$5:L$5*ISNUMBER(I20:L20)))</f>
        <v/>
      </c>
      <c r="N20" s="28" t="n"/>
      <c r="O20" s="28" t="n"/>
      <c r="P20" s="28" t="n"/>
      <c r="Q20" s="28" t="n"/>
      <c r="R20" s="18">
        <f>IF(OR($B20="",COUNT(N20:Q20)=0),"",SUMPRODUCT(N$5:Q$5,N20:Q20)/SUMPRODUCT(N$5:Q$5*ISNUMBER(N20:Q20)))</f>
        <v/>
      </c>
      <c r="S20" s="18">
        <f>IF(OR($B20="",COUNT(H20,M20,R20)=0),"",IFERROR((IF(ISNUMBER(H20),H$5*H20,0)+IF(ISNUMBER(M20),M$5*M20,0)+IF(ISNUMBER(R20),R$5*R20,0))/(IF(ISNUMBER(H20),H$5,0)+IF(ISNUMBER(M20),M$5,0)+IF(ISNUMBER(R20),R$5,0)),""))</f>
        <v/>
      </c>
      <c r="T20" s="29">
        <f>IF(S20="","",ROUND(S20,Criterios!$C$23))</f>
        <v/>
      </c>
      <c r="U20" s="20">
        <f>IF(T20="","",VLOOKUP(T20,Criterios!$F$7:$G$11,2,TRUE))</f>
        <v/>
      </c>
      <c r="V20" s="20">
        <f>IF($B20="","",IF(T20="","Sin notas",IF(AND(ISNUMBER(R20),T20&lt;Criterios!$C$21),"Suspende",IF(T20&lt;Criterios!$C$21+Criterios!$C$22,"En riesgo","Aprueba"))))</f>
        <v/>
      </c>
      <c r="W20" s="11">
        <f>IF($B20="","",COUNTIF(H20,"&lt;"&amp;Criterios!$C$21)+COUNTIF(M20,"&lt;"&amp;Criterios!$C$21)+COUNTIF(R20,"&lt;"&amp;Criterios!$C$21))</f>
        <v/>
      </c>
      <c r="X20" s="17">
        <f>IF(OR($B20="",ISNUMBER(R20),NOT(ISNUMBER(H20)),NOT(ISNUMBER(M20)),R$5=0),"",IF((Criterios!$C$21*(H$5+M$5+R$5)-H$5*H20-M$5*M20)/R$5&lt;=0,"Ya aprueba",IF((Criterios!$C$21*(H$5+M$5+R$5)-H$5*H20-M$5*M20)/R$5&gt;10,"Imposible",ROUND((Criterios!$C$21*(H$5+M$5+R$5)-H$5*H20-M$5*M20)/R$5,2))))</f>
        <v/>
      </c>
      <c r="Y20" s="30">
        <f>IF($B20="","",IF(OR(V20="Suspende",V20="En riesgo"),S20+ROW()/1000000,""))</f>
        <v/>
      </c>
      <c r="Z20" s="30">
        <f>IF(S20="","",S20-ROW()/1000000)</f>
        <v/>
      </c>
    </row>
    <row r="21">
      <c r="B21" s="26" t="n"/>
      <c r="C21" s="27" t="n"/>
      <c r="D21" s="28" t="n"/>
      <c r="E21" s="28" t="n"/>
      <c r="F21" s="28" t="n"/>
      <c r="G21" s="28" t="n"/>
      <c r="H21" s="18">
        <f>IF(OR($B21="",COUNT(D21:G21)=0),"",SUMPRODUCT(D$5:G$5,D21:G21)/SUMPRODUCT(D$5:G$5*ISNUMBER(D21:G21)))</f>
        <v/>
      </c>
      <c r="I21" s="28" t="n"/>
      <c r="J21" s="28" t="n"/>
      <c r="K21" s="28" t="n"/>
      <c r="L21" s="28" t="n"/>
      <c r="M21" s="18">
        <f>IF(OR($B21="",COUNT(I21:L21)=0),"",SUMPRODUCT(I$5:L$5,I21:L21)/SUMPRODUCT(I$5:L$5*ISNUMBER(I21:L21)))</f>
        <v/>
      </c>
      <c r="N21" s="28" t="n"/>
      <c r="O21" s="28" t="n"/>
      <c r="P21" s="28" t="n"/>
      <c r="Q21" s="28" t="n"/>
      <c r="R21" s="18">
        <f>IF(OR($B21="",COUNT(N21:Q21)=0),"",SUMPRODUCT(N$5:Q$5,N21:Q21)/SUMPRODUCT(N$5:Q$5*ISNUMBER(N21:Q21)))</f>
        <v/>
      </c>
      <c r="S21" s="18">
        <f>IF(OR($B21="",COUNT(H21,M21,R21)=0),"",IFERROR((IF(ISNUMBER(H21),H$5*H21,0)+IF(ISNUMBER(M21),M$5*M21,0)+IF(ISNUMBER(R21),R$5*R21,0))/(IF(ISNUMBER(H21),H$5,0)+IF(ISNUMBER(M21),M$5,0)+IF(ISNUMBER(R21),R$5,0)),""))</f>
        <v/>
      </c>
      <c r="T21" s="29">
        <f>IF(S21="","",ROUND(S21,Criterios!$C$23))</f>
        <v/>
      </c>
      <c r="U21" s="20">
        <f>IF(T21="","",VLOOKUP(T21,Criterios!$F$7:$G$11,2,TRUE))</f>
        <v/>
      </c>
      <c r="V21" s="20">
        <f>IF($B21="","",IF(T21="","Sin notas",IF(AND(ISNUMBER(R21),T21&lt;Criterios!$C$21),"Suspende",IF(T21&lt;Criterios!$C$21+Criterios!$C$22,"En riesgo","Aprueba"))))</f>
        <v/>
      </c>
      <c r="W21" s="11">
        <f>IF($B21="","",COUNTIF(H21,"&lt;"&amp;Criterios!$C$21)+COUNTIF(M21,"&lt;"&amp;Criterios!$C$21)+COUNTIF(R21,"&lt;"&amp;Criterios!$C$21))</f>
        <v/>
      </c>
      <c r="X21" s="17">
        <f>IF(OR($B21="",ISNUMBER(R21),NOT(ISNUMBER(H21)),NOT(ISNUMBER(M21)),R$5=0),"",IF((Criterios!$C$21*(H$5+M$5+R$5)-H$5*H21-M$5*M21)/R$5&lt;=0,"Ya aprueba",IF((Criterios!$C$21*(H$5+M$5+R$5)-H$5*H21-M$5*M21)/R$5&gt;10,"Imposible",ROUND((Criterios!$C$21*(H$5+M$5+R$5)-H$5*H21-M$5*M21)/R$5,2))))</f>
        <v/>
      </c>
      <c r="Y21" s="30">
        <f>IF($B21="","",IF(OR(V21="Suspende",V21="En riesgo"),S21+ROW()/1000000,""))</f>
        <v/>
      </c>
      <c r="Z21" s="30">
        <f>IF(S21="","",S21-ROW()/1000000)</f>
        <v/>
      </c>
    </row>
    <row r="22">
      <c r="B22" s="26" t="n"/>
      <c r="C22" s="27" t="n"/>
      <c r="D22" s="28" t="n"/>
      <c r="E22" s="28" t="n"/>
      <c r="F22" s="28" t="n"/>
      <c r="G22" s="28" t="n"/>
      <c r="H22" s="18">
        <f>IF(OR($B22="",COUNT(D22:G22)=0),"",SUMPRODUCT(D$5:G$5,D22:G22)/SUMPRODUCT(D$5:G$5*ISNUMBER(D22:G22)))</f>
        <v/>
      </c>
      <c r="I22" s="28" t="n"/>
      <c r="J22" s="28" t="n"/>
      <c r="K22" s="28" t="n"/>
      <c r="L22" s="28" t="n"/>
      <c r="M22" s="18">
        <f>IF(OR($B22="",COUNT(I22:L22)=0),"",SUMPRODUCT(I$5:L$5,I22:L22)/SUMPRODUCT(I$5:L$5*ISNUMBER(I22:L22)))</f>
        <v/>
      </c>
      <c r="N22" s="28" t="n"/>
      <c r="O22" s="28" t="n"/>
      <c r="P22" s="28" t="n"/>
      <c r="Q22" s="28" t="n"/>
      <c r="R22" s="18">
        <f>IF(OR($B22="",COUNT(N22:Q22)=0),"",SUMPRODUCT(N$5:Q$5,N22:Q22)/SUMPRODUCT(N$5:Q$5*ISNUMBER(N22:Q22)))</f>
        <v/>
      </c>
      <c r="S22" s="18">
        <f>IF(OR($B22="",COUNT(H22,M22,R22)=0),"",IFERROR((IF(ISNUMBER(H22),H$5*H22,0)+IF(ISNUMBER(M22),M$5*M22,0)+IF(ISNUMBER(R22),R$5*R22,0))/(IF(ISNUMBER(H22),H$5,0)+IF(ISNUMBER(M22),M$5,0)+IF(ISNUMBER(R22),R$5,0)),""))</f>
        <v/>
      </c>
      <c r="T22" s="29">
        <f>IF(S22="","",ROUND(S22,Criterios!$C$23))</f>
        <v/>
      </c>
      <c r="U22" s="20">
        <f>IF(T22="","",VLOOKUP(T22,Criterios!$F$7:$G$11,2,TRUE))</f>
        <v/>
      </c>
      <c r="V22" s="20">
        <f>IF($B22="","",IF(T22="","Sin notas",IF(AND(ISNUMBER(R22),T22&lt;Criterios!$C$21),"Suspende",IF(T22&lt;Criterios!$C$21+Criterios!$C$22,"En riesgo","Aprueba"))))</f>
        <v/>
      </c>
      <c r="W22" s="11">
        <f>IF($B22="","",COUNTIF(H22,"&lt;"&amp;Criterios!$C$21)+COUNTIF(M22,"&lt;"&amp;Criterios!$C$21)+COUNTIF(R22,"&lt;"&amp;Criterios!$C$21))</f>
        <v/>
      </c>
      <c r="X22" s="17">
        <f>IF(OR($B22="",ISNUMBER(R22),NOT(ISNUMBER(H22)),NOT(ISNUMBER(M22)),R$5=0),"",IF((Criterios!$C$21*(H$5+M$5+R$5)-H$5*H22-M$5*M22)/R$5&lt;=0,"Ya aprueba",IF((Criterios!$C$21*(H$5+M$5+R$5)-H$5*H22-M$5*M22)/R$5&gt;10,"Imposible",ROUND((Criterios!$C$21*(H$5+M$5+R$5)-H$5*H22-M$5*M22)/R$5,2))))</f>
        <v/>
      </c>
      <c r="Y22" s="30">
        <f>IF($B22="","",IF(OR(V22="Suspende",V22="En riesgo"),S22+ROW()/1000000,""))</f>
        <v/>
      </c>
      <c r="Z22" s="30">
        <f>IF(S22="","",S22-ROW()/1000000)</f>
        <v/>
      </c>
    </row>
    <row r="23">
      <c r="B23" s="26" t="n"/>
      <c r="C23" s="27" t="n"/>
      <c r="D23" s="28" t="n"/>
      <c r="E23" s="28" t="n"/>
      <c r="F23" s="28" t="n"/>
      <c r="G23" s="28" t="n"/>
      <c r="H23" s="18">
        <f>IF(OR($B23="",COUNT(D23:G23)=0),"",SUMPRODUCT(D$5:G$5,D23:G23)/SUMPRODUCT(D$5:G$5*ISNUMBER(D23:G23)))</f>
        <v/>
      </c>
      <c r="I23" s="28" t="n"/>
      <c r="J23" s="28" t="n"/>
      <c r="K23" s="28" t="n"/>
      <c r="L23" s="28" t="n"/>
      <c r="M23" s="18">
        <f>IF(OR($B23="",COUNT(I23:L23)=0),"",SUMPRODUCT(I$5:L$5,I23:L23)/SUMPRODUCT(I$5:L$5*ISNUMBER(I23:L23)))</f>
        <v/>
      </c>
      <c r="N23" s="28" t="n"/>
      <c r="O23" s="28" t="n"/>
      <c r="P23" s="28" t="n"/>
      <c r="Q23" s="28" t="n"/>
      <c r="R23" s="18">
        <f>IF(OR($B23="",COUNT(N23:Q23)=0),"",SUMPRODUCT(N$5:Q$5,N23:Q23)/SUMPRODUCT(N$5:Q$5*ISNUMBER(N23:Q23)))</f>
        <v/>
      </c>
      <c r="S23" s="18">
        <f>IF(OR($B23="",COUNT(H23,M23,R23)=0),"",IFERROR((IF(ISNUMBER(H23),H$5*H23,0)+IF(ISNUMBER(M23),M$5*M23,0)+IF(ISNUMBER(R23),R$5*R23,0))/(IF(ISNUMBER(H23),H$5,0)+IF(ISNUMBER(M23),M$5,0)+IF(ISNUMBER(R23),R$5,0)),""))</f>
        <v/>
      </c>
      <c r="T23" s="29">
        <f>IF(S23="","",ROUND(S23,Criterios!$C$23))</f>
        <v/>
      </c>
      <c r="U23" s="20">
        <f>IF(T23="","",VLOOKUP(T23,Criterios!$F$7:$G$11,2,TRUE))</f>
        <v/>
      </c>
      <c r="V23" s="20">
        <f>IF($B23="","",IF(T23="","Sin notas",IF(AND(ISNUMBER(R23),T23&lt;Criterios!$C$21),"Suspende",IF(T23&lt;Criterios!$C$21+Criterios!$C$22,"En riesgo","Aprueba"))))</f>
        <v/>
      </c>
      <c r="W23" s="11">
        <f>IF($B23="","",COUNTIF(H23,"&lt;"&amp;Criterios!$C$21)+COUNTIF(M23,"&lt;"&amp;Criterios!$C$21)+COUNTIF(R23,"&lt;"&amp;Criterios!$C$21))</f>
        <v/>
      </c>
      <c r="X23" s="17">
        <f>IF(OR($B23="",ISNUMBER(R23),NOT(ISNUMBER(H23)),NOT(ISNUMBER(M23)),R$5=0),"",IF((Criterios!$C$21*(H$5+M$5+R$5)-H$5*H23-M$5*M23)/R$5&lt;=0,"Ya aprueba",IF((Criterios!$C$21*(H$5+M$5+R$5)-H$5*H23-M$5*M23)/R$5&gt;10,"Imposible",ROUND((Criterios!$C$21*(H$5+M$5+R$5)-H$5*H23-M$5*M23)/R$5,2))))</f>
        <v/>
      </c>
      <c r="Y23" s="30">
        <f>IF($B23="","",IF(OR(V23="Suspende",V23="En riesgo"),S23+ROW()/1000000,""))</f>
        <v/>
      </c>
      <c r="Z23" s="30">
        <f>IF(S23="","",S23-ROW()/1000000)</f>
        <v/>
      </c>
    </row>
    <row r="24">
      <c r="B24" s="26" t="n"/>
      <c r="C24" s="27" t="n"/>
      <c r="D24" s="28" t="n"/>
      <c r="E24" s="28" t="n"/>
      <c r="F24" s="28" t="n"/>
      <c r="G24" s="28" t="n"/>
      <c r="H24" s="18">
        <f>IF(OR($B24="",COUNT(D24:G24)=0),"",SUMPRODUCT(D$5:G$5,D24:G24)/SUMPRODUCT(D$5:G$5*ISNUMBER(D24:G24)))</f>
        <v/>
      </c>
      <c r="I24" s="28" t="n"/>
      <c r="J24" s="28" t="n"/>
      <c r="K24" s="28" t="n"/>
      <c r="L24" s="28" t="n"/>
      <c r="M24" s="18">
        <f>IF(OR($B24="",COUNT(I24:L24)=0),"",SUMPRODUCT(I$5:L$5,I24:L24)/SUMPRODUCT(I$5:L$5*ISNUMBER(I24:L24)))</f>
        <v/>
      </c>
      <c r="N24" s="28" t="n"/>
      <c r="O24" s="28" t="n"/>
      <c r="P24" s="28" t="n"/>
      <c r="Q24" s="28" t="n"/>
      <c r="R24" s="18">
        <f>IF(OR($B24="",COUNT(N24:Q24)=0),"",SUMPRODUCT(N$5:Q$5,N24:Q24)/SUMPRODUCT(N$5:Q$5*ISNUMBER(N24:Q24)))</f>
        <v/>
      </c>
      <c r="S24" s="18">
        <f>IF(OR($B24="",COUNT(H24,M24,R24)=0),"",IFERROR((IF(ISNUMBER(H24),H$5*H24,0)+IF(ISNUMBER(M24),M$5*M24,0)+IF(ISNUMBER(R24),R$5*R24,0))/(IF(ISNUMBER(H24),H$5,0)+IF(ISNUMBER(M24),M$5,0)+IF(ISNUMBER(R24),R$5,0)),""))</f>
        <v/>
      </c>
      <c r="T24" s="29">
        <f>IF(S24="","",ROUND(S24,Criterios!$C$23))</f>
        <v/>
      </c>
      <c r="U24" s="20">
        <f>IF(T24="","",VLOOKUP(T24,Criterios!$F$7:$G$11,2,TRUE))</f>
        <v/>
      </c>
      <c r="V24" s="20">
        <f>IF($B24="","",IF(T24="","Sin notas",IF(AND(ISNUMBER(R24),T24&lt;Criterios!$C$21),"Suspende",IF(T24&lt;Criterios!$C$21+Criterios!$C$22,"En riesgo","Aprueba"))))</f>
        <v/>
      </c>
      <c r="W24" s="11">
        <f>IF($B24="","",COUNTIF(H24,"&lt;"&amp;Criterios!$C$21)+COUNTIF(M24,"&lt;"&amp;Criterios!$C$21)+COUNTIF(R24,"&lt;"&amp;Criterios!$C$21))</f>
        <v/>
      </c>
      <c r="X24" s="17">
        <f>IF(OR($B24="",ISNUMBER(R24),NOT(ISNUMBER(H24)),NOT(ISNUMBER(M24)),R$5=0),"",IF((Criterios!$C$21*(H$5+M$5+R$5)-H$5*H24-M$5*M24)/R$5&lt;=0,"Ya aprueba",IF((Criterios!$C$21*(H$5+M$5+R$5)-H$5*H24-M$5*M24)/R$5&gt;10,"Imposible",ROUND((Criterios!$C$21*(H$5+M$5+R$5)-H$5*H24-M$5*M24)/R$5,2))))</f>
        <v/>
      </c>
      <c r="Y24" s="30">
        <f>IF($B24="","",IF(OR(V24="Suspende",V24="En riesgo"),S24+ROW()/1000000,""))</f>
        <v/>
      </c>
      <c r="Z24" s="30">
        <f>IF(S24="","",S24-ROW()/1000000)</f>
        <v/>
      </c>
    </row>
    <row r="25">
      <c r="B25" s="26" t="n"/>
      <c r="C25" s="27" t="n"/>
      <c r="D25" s="28" t="n"/>
      <c r="E25" s="28" t="n"/>
      <c r="F25" s="28" t="n"/>
      <c r="G25" s="28" t="n"/>
      <c r="H25" s="18">
        <f>IF(OR($B25="",COUNT(D25:G25)=0),"",SUMPRODUCT(D$5:G$5,D25:G25)/SUMPRODUCT(D$5:G$5*ISNUMBER(D25:G25)))</f>
        <v/>
      </c>
      <c r="I25" s="28" t="n"/>
      <c r="J25" s="28" t="n"/>
      <c r="K25" s="28" t="n"/>
      <c r="L25" s="28" t="n"/>
      <c r="M25" s="18">
        <f>IF(OR($B25="",COUNT(I25:L25)=0),"",SUMPRODUCT(I$5:L$5,I25:L25)/SUMPRODUCT(I$5:L$5*ISNUMBER(I25:L25)))</f>
        <v/>
      </c>
      <c r="N25" s="28" t="n"/>
      <c r="O25" s="28" t="n"/>
      <c r="P25" s="28" t="n"/>
      <c r="Q25" s="28" t="n"/>
      <c r="R25" s="18">
        <f>IF(OR($B25="",COUNT(N25:Q25)=0),"",SUMPRODUCT(N$5:Q$5,N25:Q25)/SUMPRODUCT(N$5:Q$5*ISNUMBER(N25:Q25)))</f>
        <v/>
      </c>
      <c r="S25" s="18">
        <f>IF(OR($B25="",COUNT(H25,M25,R25)=0),"",IFERROR((IF(ISNUMBER(H25),H$5*H25,0)+IF(ISNUMBER(M25),M$5*M25,0)+IF(ISNUMBER(R25),R$5*R25,0))/(IF(ISNUMBER(H25),H$5,0)+IF(ISNUMBER(M25),M$5,0)+IF(ISNUMBER(R25),R$5,0)),""))</f>
        <v/>
      </c>
      <c r="T25" s="29">
        <f>IF(S25="","",ROUND(S25,Criterios!$C$23))</f>
        <v/>
      </c>
      <c r="U25" s="20">
        <f>IF(T25="","",VLOOKUP(T25,Criterios!$F$7:$G$11,2,TRUE))</f>
        <v/>
      </c>
      <c r="V25" s="20">
        <f>IF($B25="","",IF(T25="","Sin notas",IF(AND(ISNUMBER(R25),T25&lt;Criterios!$C$21),"Suspende",IF(T25&lt;Criterios!$C$21+Criterios!$C$22,"En riesgo","Aprueba"))))</f>
        <v/>
      </c>
      <c r="W25" s="11">
        <f>IF($B25="","",COUNTIF(H25,"&lt;"&amp;Criterios!$C$21)+COUNTIF(M25,"&lt;"&amp;Criterios!$C$21)+COUNTIF(R25,"&lt;"&amp;Criterios!$C$21))</f>
        <v/>
      </c>
      <c r="X25" s="17">
        <f>IF(OR($B25="",ISNUMBER(R25),NOT(ISNUMBER(H25)),NOT(ISNUMBER(M25)),R$5=0),"",IF((Criterios!$C$21*(H$5+M$5+R$5)-H$5*H25-M$5*M25)/R$5&lt;=0,"Ya aprueba",IF((Criterios!$C$21*(H$5+M$5+R$5)-H$5*H25-M$5*M25)/R$5&gt;10,"Imposible",ROUND((Criterios!$C$21*(H$5+M$5+R$5)-H$5*H25-M$5*M25)/R$5,2))))</f>
        <v/>
      </c>
      <c r="Y25" s="30">
        <f>IF($B25="","",IF(OR(V25="Suspende",V25="En riesgo"),S25+ROW()/1000000,""))</f>
        <v/>
      </c>
      <c r="Z25" s="30">
        <f>IF(S25="","",S25-ROW()/1000000)</f>
        <v/>
      </c>
    </row>
    <row r="26">
      <c r="B26" s="26" t="n"/>
      <c r="C26" s="27" t="n"/>
      <c r="D26" s="28" t="n"/>
      <c r="E26" s="28" t="n"/>
      <c r="F26" s="28" t="n"/>
      <c r="G26" s="28" t="n"/>
      <c r="H26" s="18">
        <f>IF(OR($B26="",COUNT(D26:G26)=0),"",SUMPRODUCT(D$5:G$5,D26:G26)/SUMPRODUCT(D$5:G$5*ISNUMBER(D26:G26)))</f>
        <v/>
      </c>
      <c r="I26" s="28" t="n"/>
      <c r="J26" s="28" t="n"/>
      <c r="K26" s="28" t="n"/>
      <c r="L26" s="28" t="n"/>
      <c r="M26" s="18">
        <f>IF(OR($B26="",COUNT(I26:L26)=0),"",SUMPRODUCT(I$5:L$5,I26:L26)/SUMPRODUCT(I$5:L$5*ISNUMBER(I26:L26)))</f>
        <v/>
      </c>
      <c r="N26" s="28" t="n"/>
      <c r="O26" s="28" t="n"/>
      <c r="P26" s="28" t="n"/>
      <c r="Q26" s="28" t="n"/>
      <c r="R26" s="18">
        <f>IF(OR($B26="",COUNT(N26:Q26)=0),"",SUMPRODUCT(N$5:Q$5,N26:Q26)/SUMPRODUCT(N$5:Q$5*ISNUMBER(N26:Q26)))</f>
        <v/>
      </c>
      <c r="S26" s="18">
        <f>IF(OR($B26="",COUNT(H26,M26,R26)=0),"",IFERROR((IF(ISNUMBER(H26),H$5*H26,0)+IF(ISNUMBER(M26),M$5*M26,0)+IF(ISNUMBER(R26),R$5*R26,0))/(IF(ISNUMBER(H26),H$5,0)+IF(ISNUMBER(M26),M$5,0)+IF(ISNUMBER(R26),R$5,0)),""))</f>
        <v/>
      </c>
      <c r="T26" s="29">
        <f>IF(S26="","",ROUND(S26,Criterios!$C$23))</f>
        <v/>
      </c>
      <c r="U26" s="20">
        <f>IF(T26="","",VLOOKUP(T26,Criterios!$F$7:$G$11,2,TRUE))</f>
        <v/>
      </c>
      <c r="V26" s="20">
        <f>IF($B26="","",IF(T26="","Sin notas",IF(AND(ISNUMBER(R26),T26&lt;Criterios!$C$21),"Suspende",IF(T26&lt;Criterios!$C$21+Criterios!$C$22,"En riesgo","Aprueba"))))</f>
        <v/>
      </c>
      <c r="W26" s="11">
        <f>IF($B26="","",COUNTIF(H26,"&lt;"&amp;Criterios!$C$21)+COUNTIF(M26,"&lt;"&amp;Criterios!$C$21)+COUNTIF(R26,"&lt;"&amp;Criterios!$C$21))</f>
        <v/>
      </c>
      <c r="X26" s="17">
        <f>IF(OR($B26="",ISNUMBER(R26),NOT(ISNUMBER(H26)),NOT(ISNUMBER(M26)),R$5=0),"",IF((Criterios!$C$21*(H$5+M$5+R$5)-H$5*H26-M$5*M26)/R$5&lt;=0,"Ya aprueba",IF((Criterios!$C$21*(H$5+M$5+R$5)-H$5*H26-M$5*M26)/R$5&gt;10,"Imposible",ROUND((Criterios!$C$21*(H$5+M$5+R$5)-H$5*H26-M$5*M26)/R$5,2))))</f>
        <v/>
      </c>
      <c r="Y26" s="30">
        <f>IF($B26="","",IF(OR(V26="Suspende",V26="En riesgo"),S26+ROW()/1000000,""))</f>
        <v/>
      </c>
      <c r="Z26" s="30">
        <f>IF(S26="","",S26-ROW()/1000000)</f>
        <v/>
      </c>
    </row>
    <row r="27">
      <c r="B27" s="26" t="n"/>
      <c r="C27" s="27" t="n"/>
      <c r="D27" s="28" t="n"/>
      <c r="E27" s="28" t="n"/>
      <c r="F27" s="28" t="n"/>
      <c r="G27" s="28" t="n"/>
      <c r="H27" s="18">
        <f>IF(OR($B27="",COUNT(D27:G27)=0),"",SUMPRODUCT(D$5:G$5,D27:G27)/SUMPRODUCT(D$5:G$5*ISNUMBER(D27:G27)))</f>
        <v/>
      </c>
      <c r="I27" s="28" t="n"/>
      <c r="J27" s="28" t="n"/>
      <c r="K27" s="28" t="n"/>
      <c r="L27" s="28" t="n"/>
      <c r="M27" s="18">
        <f>IF(OR($B27="",COUNT(I27:L27)=0),"",SUMPRODUCT(I$5:L$5,I27:L27)/SUMPRODUCT(I$5:L$5*ISNUMBER(I27:L27)))</f>
        <v/>
      </c>
      <c r="N27" s="28" t="n"/>
      <c r="O27" s="28" t="n"/>
      <c r="P27" s="28" t="n"/>
      <c r="Q27" s="28" t="n"/>
      <c r="R27" s="18">
        <f>IF(OR($B27="",COUNT(N27:Q27)=0),"",SUMPRODUCT(N$5:Q$5,N27:Q27)/SUMPRODUCT(N$5:Q$5*ISNUMBER(N27:Q27)))</f>
        <v/>
      </c>
      <c r="S27" s="18">
        <f>IF(OR($B27="",COUNT(H27,M27,R27)=0),"",IFERROR((IF(ISNUMBER(H27),H$5*H27,0)+IF(ISNUMBER(M27),M$5*M27,0)+IF(ISNUMBER(R27),R$5*R27,0))/(IF(ISNUMBER(H27),H$5,0)+IF(ISNUMBER(M27),M$5,0)+IF(ISNUMBER(R27),R$5,0)),""))</f>
        <v/>
      </c>
      <c r="T27" s="29">
        <f>IF(S27="","",ROUND(S27,Criterios!$C$23))</f>
        <v/>
      </c>
      <c r="U27" s="20">
        <f>IF(T27="","",VLOOKUP(T27,Criterios!$F$7:$G$11,2,TRUE))</f>
        <v/>
      </c>
      <c r="V27" s="20">
        <f>IF($B27="","",IF(T27="","Sin notas",IF(AND(ISNUMBER(R27),T27&lt;Criterios!$C$21),"Suspende",IF(T27&lt;Criterios!$C$21+Criterios!$C$22,"En riesgo","Aprueba"))))</f>
        <v/>
      </c>
      <c r="W27" s="11">
        <f>IF($B27="","",COUNTIF(H27,"&lt;"&amp;Criterios!$C$21)+COUNTIF(M27,"&lt;"&amp;Criterios!$C$21)+COUNTIF(R27,"&lt;"&amp;Criterios!$C$21))</f>
        <v/>
      </c>
      <c r="X27" s="17">
        <f>IF(OR($B27="",ISNUMBER(R27),NOT(ISNUMBER(H27)),NOT(ISNUMBER(M27)),R$5=0),"",IF((Criterios!$C$21*(H$5+M$5+R$5)-H$5*H27-M$5*M27)/R$5&lt;=0,"Ya aprueba",IF((Criterios!$C$21*(H$5+M$5+R$5)-H$5*H27-M$5*M27)/R$5&gt;10,"Imposible",ROUND((Criterios!$C$21*(H$5+M$5+R$5)-H$5*H27-M$5*M27)/R$5,2))))</f>
        <v/>
      </c>
      <c r="Y27" s="30">
        <f>IF($B27="","",IF(OR(V27="Suspende",V27="En riesgo"),S27+ROW()/1000000,""))</f>
        <v/>
      </c>
      <c r="Z27" s="30">
        <f>IF(S27="","",S27-ROW()/1000000)</f>
        <v/>
      </c>
    </row>
    <row r="28">
      <c r="B28" s="26" t="n"/>
      <c r="C28" s="27" t="n"/>
      <c r="D28" s="28" t="n"/>
      <c r="E28" s="28" t="n"/>
      <c r="F28" s="28" t="n"/>
      <c r="G28" s="28" t="n"/>
      <c r="H28" s="18">
        <f>IF(OR($B28="",COUNT(D28:G28)=0),"",SUMPRODUCT(D$5:G$5,D28:G28)/SUMPRODUCT(D$5:G$5*ISNUMBER(D28:G28)))</f>
        <v/>
      </c>
      <c r="I28" s="28" t="n"/>
      <c r="J28" s="28" t="n"/>
      <c r="K28" s="28" t="n"/>
      <c r="L28" s="28" t="n"/>
      <c r="M28" s="18">
        <f>IF(OR($B28="",COUNT(I28:L28)=0),"",SUMPRODUCT(I$5:L$5,I28:L28)/SUMPRODUCT(I$5:L$5*ISNUMBER(I28:L28)))</f>
        <v/>
      </c>
      <c r="N28" s="28" t="n"/>
      <c r="O28" s="28" t="n"/>
      <c r="P28" s="28" t="n"/>
      <c r="Q28" s="28" t="n"/>
      <c r="R28" s="18">
        <f>IF(OR($B28="",COUNT(N28:Q28)=0),"",SUMPRODUCT(N$5:Q$5,N28:Q28)/SUMPRODUCT(N$5:Q$5*ISNUMBER(N28:Q28)))</f>
        <v/>
      </c>
      <c r="S28" s="18">
        <f>IF(OR($B28="",COUNT(H28,M28,R28)=0),"",IFERROR((IF(ISNUMBER(H28),H$5*H28,0)+IF(ISNUMBER(M28),M$5*M28,0)+IF(ISNUMBER(R28),R$5*R28,0))/(IF(ISNUMBER(H28),H$5,0)+IF(ISNUMBER(M28),M$5,0)+IF(ISNUMBER(R28),R$5,0)),""))</f>
        <v/>
      </c>
      <c r="T28" s="29">
        <f>IF(S28="","",ROUND(S28,Criterios!$C$23))</f>
        <v/>
      </c>
      <c r="U28" s="20">
        <f>IF(T28="","",VLOOKUP(T28,Criterios!$F$7:$G$11,2,TRUE))</f>
        <v/>
      </c>
      <c r="V28" s="20">
        <f>IF($B28="","",IF(T28="","Sin notas",IF(AND(ISNUMBER(R28),T28&lt;Criterios!$C$21),"Suspende",IF(T28&lt;Criterios!$C$21+Criterios!$C$22,"En riesgo","Aprueba"))))</f>
        <v/>
      </c>
      <c r="W28" s="11">
        <f>IF($B28="","",COUNTIF(H28,"&lt;"&amp;Criterios!$C$21)+COUNTIF(M28,"&lt;"&amp;Criterios!$C$21)+COUNTIF(R28,"&lt;"&amp;Criterios!$C$21))</f>
        <v/>
      </c>
      <c r="X28" s="17">
        <f>IF(OR($B28="",ISNUMBER(R28),NOT(ISNUMBER(H28)),NOT(ISNUMBER(M28)),R$5=0),"",IF((Criterios!$C$21*(H$5+M$5+R$5)-H$5*H28-M$5*M28)/R$5&lt;=0,"Ya aprueba",IF((Criterios!$C$21*(H$5+M$5+R$5)-H$5*H28-M$5*M28)/R$5&gt;10,"Imposible",ROUND((Criterios!$C$21*(H$5+M$5+R$5)-H$5*H28-M$5*M28)/R$5,2))))</f>
        <v/>
      </c>
      <c r="Y28" s="30">
        <f>IF($B28="","",IF(OR(V28="Suspende",V28="En riesgo"),S28+ROW()/1000000,""))</f>
        <v/>
      </c>
      <c r="Z28" s="30">
        <f>IF(S28="","",S28-ROW()/1000000)</f>
        <v/>
      </c>
    </row>
    <row r="29">
      <c r="B29" s="26" t="n"/>
      <c r="C29" s="27" t="n"/>
      <c r="D29" s="28" t="n"/>
      <c r="E29" s="28" t="n"/>
      <c r="F29" s="28" t="n"/>
      <c r="G29" s="28" t="n"/>
      <c r="H29" s="18">
        <f>IF(OR($B29="",COUNT(D29:G29)=0),"",SUMPRODUCT(D$5:G$5,D29:G29)/SUMPRODUCT(D$5:G$5*ISNUMBER(D29:G29)))</f>
        <v/>
      </c>
      <c r="I29" s="28" t="n"/>
      <c r="J29" s="28" t="n"/>
      <c r="K29" s="28" t="n"/>
      <c r="L29" s="28" t="n"/>
      <c r="M29" s="18">
        <f>IF(OR($B29="",COUNT(I29:L29)=0),"",SUMPRODUCT(I$5:L$5,I29:L29)/SUMPRODUCT(I$5:L$5*ISNUMBER(I29:L29)))</f>
        <v/>
      </c>
      <c r="N29" s="28" t="n"/>
      <c r="O29" s="28" t="n"/>
      <c r="P29" s="28" t="n"/>
      <c r="Q29" s="28" t="n"/>
      <c r="R29" s="18">
        <f>IF(OR($B29="",COUNT(N29:Q29)=0),"",SUMPRODUCT(N$5:Q$5,N29:Q29)/SUMPRODUCT(N$5:Q$5*ISNUMBER(N29:Q29)))</f>
        <v/>
      </c>
      <c r="S29" s="18">
        <f>IF(OR($B29="",COUNT(H29,M29,R29)=0),"",IFERROR((IF(ISNUMBER(H29),H$5*H29,0)+IF(ISNUMBER(M29),M$5*M29,0)+IF(ISNUMBER(R29),R$5*R29,0))/(IF(ISNUMBER(H29),H$5,0)+IF(ISNUMBER(M29),M$5,0)+IF(ISNUMBER(R29),R$5,0)),""))</f>
        <v/>
      </c>
      <c r="T29" s="29">
        <f>IF(S29="","",ROUND(S29,Criterios!$C$23))</f>
        <v/>
      </c>
      <c r="U29" s="20">
        <f>IF(T29="","",VLOOKUP(T29,Criterios!$F$7:$G$11,2,TRUE))</f>
        <v/>
      </c>
      <c r="V29" s="20">
        <f>IF($B29="","",IF(T29="","Sin notas",IF(AND(ISNUMBER(R29),T29&lt;Criterios!$C$21),"Suspende",IF(T29&lt;Criterios!$C$21+Criterios!$C$22,"En riesgo","Aprueba"))))</f>
        <v/>
      </c>
      <c r="W29" s="11">
        <f>IF($B29="","",COUNTIF(H29,"&lt;"&amp;Criterios!$C$21)+COUNTIF(M29,"&lt;"&amp;Criterios!$C$21)+COUNTIF(R29,"&lt;"&amp;Criterios!$C$21))</f>
        <v/>
      </c>
      <c r="X29" s="17">
        <f>IF(OR($B29="",ISNUMBER(R29),NOT(ISNUMBER(H29)),NOT(ISNUMBER(M29)),R$5=0),"",IF((Criterios!$C$21*(H$5+M$5+R$5)-H$5*H29-M$5*M29)/R$5&lt;=0,"Ya aprueba",IF((Criterios!$C$21*(H$5+M$5+R$5)-H$5*H29-M$5*M29)/R$5&gt;10,"Imposible",ROUND((Criterios!$C$21*(H$5+M$5+R$5)-H$5*H29-M$5*M29)/R$5,2))))</f>
        <v/>
      </c>
      <c r="Y29" s="30">
        <f>IF($B29="","",IF(OR(V29="Suspende",V29="En riesgo"),S29+ROW()/1000000,""))</f>
        <v/>
      </c>
      <c r="Z29" s="30">
        <f>IF(S29="","",S29-ROW()/1000000)</f>
        <v/>
      </c>
    </row>
    <row r="30">
      <c r="B30" s="26" t="n"/>
      <c r="C30" s="27" t="n"/>
      <c r="D30" s="28" t="n"/>
      <c r="E30" s="28" t="n"/>
      <c r="F30" s="28" t="n"/>
      <c r="G30" s="28" t="n"/>
      <c r="H30" s="18">
        <f>IF(OR($B30="",COUNT(D30:G30)=0),"",SUMPRODUCT(D$5:G$5,D30:G30)/SUMPRODUCT(D$5:G$5*ISNUMBER(D30:G30)))</f>
        <v/>
      </c>
      <c r="I30" s="28" t="n"/>
      <c r="J30" s="28" t="n"/>
      <c r="K30" s="28" t="n"/>
      <c r="L30" s="28" t="n"/>
      <c r="M30" s="18">
        <f>IF(OR($B30="",COUNT(I30:L30)=0),"",SUMPRODUCT(I$5:L$5,I30:L30)/SUMPRODUCT(I$5:L$5*ISNUMBER(I30:L30)))</f>
        <v/>
      </c>
      <c r="N30" s="28" t="n"/>
      <c r="O30" s="28" t="n"/>
      <c r="P30" s="28" t="n"/>
      <c r="Q30" s="28" t="n"/>
      <c r="R30" s="18">
        <f>IF(OR($B30="",COUNT(N30:Q30)=0),"",SUMPRODUCT(N$5:Q$5,N30:Q30)/SUMPRODUCT(N$5:Q$5*ISNUMBER(N30:Q30)))</f>
        <v/>
      </c>
      <c r="S30" s="18">
        <f>IF(OR($B30="",COUNT(H30,M30,R30)=0),"",IFERROR((IF(ISNUMBER(H30),H$5*H30,0)+IF(ISNUMBER(M30),M$5*M30,0)+IF(ISNUMBER(R30),R$5*R30,0))/(IF(ISNUMBER(H30),H$5,0)+IF(ISNUMBER(M30),M$5,0)+IF(ISNUMBER(R30),R$5,0)),""))</f>
        <v/>
      </c>
      <c r="T30" s="29">
        <f>IF(S30="","",ROUND(S30,Criterios!$C$23))</f>
        <v/>
      </c>
      <c r="U30" s="20">
        <f>IF(T30="","",VLOOKUP(T30,Criterios!$F$7:$G$11,2,TRUE))</f>
        <v/>
      </c>
      <c r="V30" s="20">
        <f>IF($B30="","",IF(T30="","Sin notas",IF(AND(ISNUMBER(R30),T30&lt;Criterios!$C$21),"Suspende",IF(T30&lt;Criterios!$C$21+Criterios!$C$22,"En riesgo","Aprueba"))))</f>
        <v/>
      </c>
      <c r="W30" s="11">
        <f>IF($B30="","",COUNTIF(H30,"&lt;"&amp;Criterios!$C$21)+COUNTIF(M30,"&lt;"&amp;Criterios!$C$21)+COUNTIF(R30,"&lt;"&amp;Criterios!$C$21))</f>
        <v/>
      </c>
      <c r="X30" s="17">
        <f>IF(OR($B30="",ISNUMBER(R30),NOT(ISNUMBER(H30)),NOT(ISNUMBER(M30)),R$5=0),"",IF((Criterios!$C$21*(H$5+M$5+R$5)-H$5*H30-M$5*M30)/R$5&lt;=0,"Ya aprueba",IF((Criterios!$C$21*(H$5+M$5+R$5)-H$5*H30-M$5*M30)/R$5&gt;10,"Imposible",ROUND((Criterios!$C$21*(H$5+M$5+R$5)-H$5*H30-M$5*M30)/R$5,2))))</f>
        <v/>
      </c>
      <c r="Y30" s="30">
        <f>IF($B30="","",IF(OR(V30="Suspende",V30="En riesgo"),S30+ROW()/1000000,""))</f>
        <v/>
      </c>
      <c r="Z30" s="30">
        <f>IF(S30="","",S30-ROW()/1000000)</f>
        <v/>
      </c>
    </row>
    <row r="31">
      <c r="B31" s="26" t="n"/>
      <c r="C31" s="27" t="n"/>
      <c r="D31" s="28" t="n"/>
      <c r="E31" s="28" t="n"/>
      <c r="F31" s="28" t="n"/>
      <c r="G31" s="28" t="n"/>
      <c r="H31" s="18">
        <f>IF(OR($B31="",COUNT(D31:G31)=0),"",SUMPRODUCT(D$5:G$5,D31:G31)/SUMPRODUCT(D$5:G$5*ISNUMBER(D31:G31)))</f>
        <v/>
      </c>
      <c r="I31" s="28" t="n"/>
      <c r="J31" s="28" t="n"/>
      <c r="K31" s="28" t="n"/>
      <c r="L31" s="28" t="n"/>
      <c r="M31" s="18">
        <f>IF(OR($B31="",COUNT(I31:L31)=0),"",SUMPRODUCT(I$5:L$5,I31:L31)/SUMPRODUCT(I$5:L$5*ISNUMBER(I31:L31)))</f>
        <v/>
      </c>
      <c r="N31" s="28" t="n"/>
      <c r="O31" s="28" t="n"/>
      <c r="P31" s="28" t="n"/>
      <c r="Q31" s="28" t="n"/>
      <c r="R31" s="18">
        <f>IF(OR($B31="",COUNT(N31:Q31)=0),"",SUMPRODUCT(N$5:Q$5,N31:Q31)/SUMPRODUCT(N$5:Q$5*ISNUMBER(N31:Q31)))</f>
        <v/>
      </c>
      <c r="S31" s="18">
        <f>IF(OR($B31="",COUNT(H31,M31,R31)=0),"",IFERROR((IF(ISNUMBER(H31),H$5*H31,0)+IF(ISNUMBER(M31),M$5*M31,0)+IF(ISNUMBER(R31),R$5*R31,0))/(IF(ISNUMBER(H31),H$5,0)+IF(ISNUMBER(M31),M$5,0)+IF(ISNUMBER(R31),R$5,0)),""))</f>
        <v/>
      </c>
      <c r="T31" s="29">
        <f>IF(S31="","",ROUND(S31,Criterios!$C$23))</f>
        <v/>
      </c>
      <c r="U31" s="20">
        <f>IF(T31="","",VLOOKUP(T31,Criterios!$F$7:$G$11,2,TRUE))</f>
        <v/>
      </c>
      <c r="V31" s="20">
        <f>IF($B31="","",IF(T31="","Sin notas",IF(AND(ISNUMBER(R31),T31&lt;Criterios!$C$21),"Suspende",IF(T31&lt;Criterios!$C$21+Criterios!$C$22,"En riesgo","Aprueba"))))</f>
        <v/>
      </c>
      <c r="W31" s="11">
        <f>IF($B31="","",COUNTIF(H31,"&lt;"&amp;Criterios!$C$21)+COUNTIF(M31,"&lt;"&amp;Criterios!$C$21)+COUNTIF(R31,"&lt;"&amp;Criterios!$C$21))</f>
        <v/>
      </c>
      <c r="X31" s="17">
        <f>IF(OR($B31="",ISNUMBER(R31),NOT(ISNUMBER(H31)),NOT(ISNUMBER(M31)),R$5=0),"",IF((Criterios!$C$21*(H$5+M$5+R$5)-H$5*H31-M$5*M31)/R$5&lt;=0,"Ya aprueba",IF((Criterios!$C$21*(H$5+M$5+R$5)-H$5*H31-M$5*M31)/R$5&gt;10,"Imposible",ROUND((Criterios!$C$21*(H$5+M$5+R$5)-H$5*H31-M$5*M31)/R$5,2))))</f>
        <v/>
      </c>
      <c r="Y31" s="30">
        <f>IF($B31="","",IF(OR(V31="Suspende",V31="En riesgo"),S31+ROW()/1000000,""))</f>
        <v/>
      </c>
      <c r="Z31" s="30">
        <f>IF(S31="","",S31-ROW()/1000000)</f>
        <v/>
      </c>
    </row>
    <row r="32">
      <c r="B32" s="26" t="n"/>
      <c r="C32" s="27" t="n"/>
      <c r="D32" s="28" t="n"/>
      <c r="E32" s="28" t="n"/>
      <c r="F32" s="28" t="n"/>
      <c r="G32" s="28" t="n"/>
      <c r="H32" s="18">
        <f>IF(OR($B32="",COUNT(D32:G32)=0),"",SUMPRODUCT(D$5:G$5,D32:G32)/SUMPRODUCT(D$5:G$5*ISNUMBER(D32:G32)))</f>
        <v/>
      </c>
      <c r="I32" s="28" t="n"/>
      <c r="J32" s="28" t="n"/>
      <c r="K32" s="28" t="n"/>
      <c r="L32" s="28" t="n"/>
      <c r="M32" s="18">
        <f>IF(OR($B32="",COUNT(I32:L32)=0),"",SUMPRODUCT(I$5:L$5,I32:L32)/SUMPRODUCT(I$5:L$5*ISNUMBER(I32:L32)))</f>
        <v/>
      </c>
      <c r="N32" s="28" t="n"/>
      <c r="O32" s="28" t="n"/>
      <c r="P32" s="28" t="n"/>
      <c r="Q32" s="28" t="n"/>
      <c r="R32" s="18">
        <f>IF(OR($B32="",COUNT(N32:Q32)=0),"",SUMPRODUCT(N$5:Q$5,N32:Q32)/SUMPRODUCT(N$5:Q$5*ISNUMBER(N32:Q32)))</f>
        <v/>
      </c>
      <c r="S32" s="18">
        <f>IF(OR($B32="",COUNT(H32,M32,R32)=0),"",IFERROR((IF(ISNUMBER(H32),H$5*H32,0)+IF(ISNUMBER(M32),M$5*M32,0)+IF(ISNUMBER(R32),R$5*R32,0))/(IF(ISNUMBER(H32),H$5,0)+IF(ISNUMBER(M32),M$5,0)+IF(ISNUMBER(R32),R$5,0)),""))</f>
        <v/>
      </c>
      <c r="T32" s="29">
        <f>IF(S32="","",ROUND(S32,Criterios!$C$23))</f>
        <v/>
      </c>
      <c r="U32" s="20">
        <f>IF(T32="","",VLOOKUP(T32,Criterios!$F$7:$G$11,2,TRUE))</f>
        <v/>
      </c>
      <c r="V32" s="20">
        <f>IF($B32="","",IF(T32="","Sin notas",IF(AND(ISNUMBER(R32),T32&lt;Criterios!$C$21),"Suspende",IF(T32&lt;Criterios!$C$21+Criterios!$C$22,"En riesgo","Aprueba"))))</f>
        <v/>
      </c>
      <c r="W32" s="11">
        <f>IF($B32="","",COUNTIF(H32,"&lt;"&amp;Criterios!$C$21)+COUNTIF(M32,"&lt;"&amp;Criterios!$C$21)+COUNTIF(R32,"&lt;"&amp;Criterios!$C$21))</f>
        <v/>
      </c>
      <c r="X32" s="17">
        <f>IF(OR($B32="",ISNUMBER(R32),NOT(ISNUMBER(H32)),NOT(ISNUMBER(M32)),R$5=0),"",IF((Criterios!$C$21*(H$5+M$5+R$5)-H$5*H32-M$5*M32)/R$5&lt;=0,"Ya aprueba",IF((Criterios!$C$21*(H$5+M$5+R$5)-H$5*H32-M$5*M32)/R$5&gt;10,"Imposible",ROUND((Criterios!$C$21*(H$5+M$5+R$5)-H$5*H32-M$5*M32)/R$5,2))))</f>
        <v/>
      </c>
      <c r="Y32" s="30">
        <f>IF($B32="","",IF(OR(V32="Suspende",V32="En riesgo"),S32+ROW()/1000000,""))</f>
        <v/>
      </c>
      <c r="Z32" s="30">
        <f>IF(S32="","",S32-ROW()/1000000)</f>
        <v/>
      </c>
    </row>
    <row r="33">
      <c r="B33" s="26" t="n"/>
      <c r="C33" s="27" t="n"/>
      <c r="D33" s="28" t="n"/>
      <c r="E33" s="28" t="n"/>
      <c r="F33" s="28" t="n"/>
      <c r="G33" s="28" t="n"/>
      <c r="H33" s="18">
        <f>IF(OR($B33="",COUNT(D33:G33)=0),"",SUMPRODUCT(D$5:G$5,D33:G33)/SUMPRODUCT(D$5:G$5*ISNUMBER(D33:G33)))</f>
        <v/>
      </c>
      <c r="I33" s="28" t="n"/>
      <c r="J33" s="28" t="n"/>
      <c r="K33" s="28" t="n"/>
      <c r="L33" s="28" t="n"/>
      <c r="M33" s="18">
        <f>IF(OR($B33="",COUNT(I33:L33)=0),"",SUMPRODUCT(I$5:L$5,I33:L33)/SUMPRODUCT(I$5:L$5*ISNUMBER(I33:L33)))</f>
        <v/>
      </c>
      <c r="N33" s="28" t="n"/>
      <c r="O33" s="28" t="n"/>
      <c r="P33" s="28" t="n"/>
      <c r="Q33" s="28" t="n"/>
      <c r="R33" s="18">
        <f>IF(OR($B33="",COUNT(N33:Q33)=0),"",SUMPRODUCT(N$5:Q$5,N33:Q33)/SUMPRODUCT(N$5:Q$5*ISNUMBER(N33:Q33)))</f>
        <v/>
      </c>
      <c r="S33" s="18">
        <f>IF(OR($B33="",COUNT(H33,M33,R33)=0),"",IFERROR((IF(ISNUMBER(H33),H$5*H33,0)+IF(ISNUMBER(M33),M$5*M33,0)+IF(ISNUMBER(R33),R$5*R33,0))/(IF(ISNUMBER(H33),H$5,0)+IF(ISNUMBER(M33),M$5,0)+IF(ISNUMBER(R33),R$5,0)),""))</f>
        <v/>
      </c>
      <c r="T33" s="29">
        <f>IF(S33="","",ROUND(S33,Criterios!$C$23))</f>
        <v/>
      </c>
      <c r="U33" s="20">
        <f>IF(T33="","",VLOOKUP(T33,Criterios!$F$7:$G$11,2,TRUE))</f>
        <v/>
      </c>
      <c r="V33" s="20">
        <f>IF($B33="","",IF(T33="","Sin notas",IF(AND(ISNUMBER(R33),T33&lt;Criterios!$C$21),"Suspende",IF(T33&lt;Criterios!$C$21+Criterios!$C$22,"En riesgo","Aprueba"))))</f>
        <v/>
      </c>
      <c r="W33" s="11">
        <f>IF($B33="","",COUNTIF(H33,"&lt;"&amp;Criterios!$C$21)+COUNTIF(M33,"&lt;"&amp;Criterios!$C$21)+COUNTIF(R33,"&lt;"&amp;Criterios!$C$21))</f>
        <v/>
      </c>
      <c r="X33" s="17">
        <f>IF(OR($B33="",ISNUMBER(R33),NOT(ISNUMBER(H33)),NOT(ISNUMBER(M33)),R$5=0),"",IF((Criterios!$C$21*(H$5+M$5+R$5)-H$5*H33-M$5*M33)/R$5&lt;=0,"Ya aprueba",IF((Criterios!$C$21*(H$5+M$5+R$5)-H$5*H33-M$5*M33)/R$5&gt;10,"Imposible",ROUND((Criterios!$C$21*(H$5+M$5+R$5)-H$5*H33-M$5*M33)/R$5,2))))</f>
        <v/>
      </c>
      <c r="Y33" s="30">
        <f>IF($B33="","",IF(OR(V33="Suspende",V33="En riesgo"),S33+ROW()/1000000,""))</f>
        <v/>
      </c>
      <c r="Z33" s="30">
        <f>IF(S33="","",S33-ROW()/1000000)</f>
        <v/>
      </c>
    </row>
    <row r="34">
      <c r="B34" s="26" t="n"/>
      <c r="C34" s="27" t="n"/>
      <c r="D34" s="28" t="n"/>
      <c r="E34" s="28" t="n"/>
      <c r="F34" s="28" t="n"/>
      <c r="G34" s="28" t="n"/>
      <c r="H34" s="18">
        <f>IF(OR($B34="",COUNT(D34:G34)=0),"",SUMPRODUCT(D$5:G$5,D34:G34)/SUMPRODUCT(D$5:G$5*ISNUMBER(D34:G34)))</f>
        <v/>
      </c>
      <c r="I34" s="28" t="n"/>
      <c r="J34" s="28" t="n"/>
      <c r="K34" s="28" t="n"/>
      <c r="L34" s="28" t="n"/>
      <c r="M34" s="18">
        <f>IF(OR($B34="",COUNT(I34:L34)=0),"",SUMPRODUCT(I$5:L$5,I34:L34)/SUMPRODUCT(I$5:L$5*ISNUMBER(I34:L34)))</f>
        <v/>
      </c>
      <c r="N34" s="28" t="n"/>
      <c r="O34" s="28" t="n"/>
      <c r="P34" s="28" t="n"/>
      <c r="Q34" s="28" t="n"/>
      <c r="R34" s="18">
        <f>IF(OR($B34="",COUNT(N34:Q34)=0),"",SUMPRODUCT(N$5:Q$5,N34:Q34)/SUMPRODUCT(N$5:Q$5*ISNUMBER(N34:Q34)))</f>
        <v/>
      </c>
      <c r="S34" s="18">
        <f>IF(OR($B34="",COUNT(H34,M34,R34)=0),"",IFERROR((IF(ISNUMBER(H34),H$5*H34,0)+IF(ISNUMBER(M34),M$5*M34,0)+IF(ISNUMBER(R34),R$5*R34,0))/(IF(ISNUMBER(H34),H$5,0)+IF(ISNUMBER(M34),M$5,0)+IF(ISNUMBER(R34),R$5,0)),""))</f>
        <v/>
      </c>
      <c r="T34" s="29">
        <f>IF(S34="","",ROUND(S34,Criterios!$C$23))</f>
        <v/>
      </c>
      <c r="U34" s="20">
        <f>IF(T34="","",VLOOKUP(T34,Criterios!$F$7:$G$11,2,TRUE))</f>
        <v/>
      </c>
      <c r="V34" s="20">
        <f>IF($B34="","",IF(T34="","Sin notas",IF(AND(ISNUMBER(R34),T34&lt;Criterios!$C$21),"Suspende",IF(T34&lt;Criterios!$C$21+Criterios!$C$22,"En riesgo","Aprueba"))))</f>
        <v/>
      </c>
      <c r="W34" s="11">
        <f>IF($B34="","",COUNTIF(H34,"&lt;"&amp;Criterios!$C$21)+COUNTIF(M34,"&lt;"&amp;Criterios!$C$21)+COUNTIF(R34,"&lt;"&amp;Criterios!$C$21))</f>
        <v/>
      </c>
      <c r="X34" s="17">
        <f>IF(OR($B34="",ISNUMBER(R34),NOT(ISNUMBER(H34)),NOT(ISNUMBER(M34)),R$5=0),"",IF((Criterios!$C$21*(H$5+M$5+R$5)-H$5*H34-M$5*M34)/R$5&lt;=0,"Ya aprueba",IF((Criterios!$C$21*(H$5+M$5+R$5)-H$5*H34-M$5*M34)/R$5&gt;10,"Imposible",ROUND((Criterios!$C$21*(H$5+M$5+R$5)-H$5*H34-M$5*M34)/R$5,2))))</f>
        <v/>
      </c>
      <c r="Y34" s="30">
        <f>IF($B34="","",IF(OR(V34="Suspende",V34="En riesgo"),S34+ROW()/1000000,""))</f>
        <v/>
      </c>
      <c r="Z34" s="30">
        <f>IF(S34="","",S34-ROW()/1000000)</f>
        <v/>
      </c>
    </row>
    <row r="35">
      <c r="B35" s="26" t="n"/>
      <c r="C35" s="27" t="n"/>
      <c r="D35" s="28" t="n"/>
      <c r="E35" s="28" t="n"/>
      <c r="F35" s="28" t="n"/>
      <c r="G35" s="28" t="n"/>
      <c r="H35" s="18">
        <f>IF(OR($B35="",COUNT(D35:G35)=0),"",SUMPRODUCT(D$5:G$5,D35:G35)/SUMPRODUCT(D$5:G$5*ISNUMBER(D35:G35)))</f>
        <v/>
      </c>
      <c r="I35" s="28" t="n"/>
      <c r="J35" s="28" t="n"/>
      <c r="K35" s="28" t="n"/>
      <c r="L35" s="28" t="n"/>
      <c r="M35" s="18">
        <f>IF(OR($B35="",COUNT(I35:L35)=0),"",SUMPRODUCT(I$5:L$5,I35:L35)/SUMPRODUCT(I$5:L$5*ISNUMBER(I35:L35)))</f>
        <v/>
      </c>
      <c r="N35" s="28" t="n"/>
      <c r="O35" s="28" t="n"/>
      <c r="P35" s="28" t="n"/>
      <c r="Q35" s="28" t="n"/>
      <c r="R35" s="18">
        <f>IF(OR($B35="",COUNT(N35:Q35)=0),"",SUMPRODUCT(N$5:Q$5,N35:Q35)/SUMPRODUCT(N$5:Q$5*ISNUMBER(N35:Q35)))</f>
        <v/>
      </c>
      <c r="S35" s="18">
        <f>IF(OR($B35="",COUNT(H35,M35,R35)=0),"",IFERROR((IF(ISNUMBER(H35),H$5*H35,0)+IF(ISNUMBER(M35),M$5*M35,0)+IF(ISNUMBER(R35),R$5*R35,0))/(IF(ISNUMBER(H35),H$5,0)+IF(ISNUMBER(M35),M$5,0)+IF(ISNUMBER(R35),R$5,0)),""))</f>
        <v/>
      </c>
      <c r="T35" s="29">
        <f>IF(S35="","",ROUND(S35,Criterios!$C$23))</f>
        <v/>
      </c>
      <c r="U35" s="20">
        <f>IF(T35="","",VLOOKUP(T35,Criterios!$F$7:$G$11,2,TRUE))</f>
        <v/>
      </c>
      <c r="V35" s="20">
        <f>IF($B35="","",IF(T35="","Sin notas",IF(AND(ISNUMBER(R35),T35&lt;Criterios!$C$21),"Suspende",IF(T35&lt;Criterios!$C$21+Criterios!$C$22,"En riesgo","Aprueba"))))</f>
        <v/>
      </c>
      <c r="W35" s="11">
        <f>IF($B35="","",COUNTIF(H35,"&lt;"&amp;Criterios!$C$21)+COUNTIF(M35,"&lt;"&amp;Criterios!$C$21)+COUNTIF(R35,"&lt;"&amp;Criterios!$C$21))</f>
        <v/>
      </c>
      <c r="X35" s="17">
        <f>IF(OR($B35="",ISNUMBER(R35),NOT(ISNUMBER(H35)),NOT(ISNUMBER(M35)),R$5=0),"",IF((Criterios!$C$21*(H$5+M$5+R$5)-H$5*H35-M$5*M35)/R$5&lt;=0,"Ya aprueba",IF((Criterios!$C$21*(H$5+M$5+R$5)-H$5*H35-M$5*M35)/R$5&gt;10,"Imposible",ROUND((Criterios!$C$21*(H$5+M$5+R$5)-H$5*H35-M$5*M35)/R$5,2))))</f>
        <v/>
      </c>
      <c r="Y35" s="30">
        <f>IF($B35="","",IF(OR(V35="Suspende",V35="En riesgo"),S35+ROW()/1000000,""))</f>
        <v/>
      </c>
      <c r="Z35" s="30">
        <f>IF(S35="","",S35-ROW()/1000000)</f>
        <v/>
      </c>
    </row>
    <row r="36">
      <c r="B36" s="26" t="n"/>
      <c r="C36" s="27" t="n"/>
      <c r="D36" s="28" t="n"/>
      <c r="E36" s="28" t="n"/>
      <c r="F36" s="28" t="n"/>
      <c r="G36" s="28" t="n"/>
      <c r="H36" s="18">
        <f>IF(OR($B36="",COUNT(D36:G36)=0),"",SUMPRODUCT(D$5:G$5,D36:G36)/SUMPRODUCT(D$5:G$5*ISNUMBER(D36:G36)))</f>
        <v/>
      </c>
      <c r="I36" s="28" t="n"/>
      <c r="J36" s="28" t="n"/>
      <c r="K36" s="28" t="n"/>
      <c r="L36" s="28" t="n"/>
      <c r="M36" s="18">
        <f>IF(OR($B36="",COUNT(I36:L36)=0),"",SUMPRODUCT(I$5:L$5,I36:L36)/SUMPRODUCT(I$5:L$5*ISNUMBER(I36:L36)))</f>
        <v/>
      </c>
      <c r="N36" s="28" t="n"/>
      <c r="O36" s="28" t="n"/>
      <c r="P36" s="28" t="n"/>
      <c r="Q36" s="28" t="n"/>
      <c r="R36" s="18">
        <f>IF(OR($B36="",COUNT(N36:Q36)=0),"",SUMPRODUCT(N$5:Q$5,N36:Q36)/SUMPRODUCT(N$5:Q$5*ISNUMBER(N36:Q36)))</f>
        <v/>
      </c>
      <c r="S36" s="18">
        <f>IF(OR($B36="",COUNT(H36,M36,R36)=0),"",IFERROR((IF(ISNUMBER(H36),H$5*H36,0)+IF(ISNUMBER(M36),M$5*M36,0)+IF(ISNUMBER(R36),R$5*R36,0))/(IF(ISNUMBER(H36),H$5,0)+IF(ISNUMBER(M36),M$5,0)+IF(ISNUMBER(R36),R$5,0)),""))</f>
        <v/>
      </c>
      <c r="T36" s="29">
        <f>IF(S36="","",ROUND(S36,Criterios!$C$23))</f>
        <v/>
      </c>
      <c r="U36" s="20">
        <f>IF(T36="","",VLOOKUP(T36,Criterios!$F$7:$G$11,2,TRUE))</f>
        <v/>
      </c>
      <c r="V36" s="20">
        <f>IF($B36="","",IF(T36="","Sin notas",IF(AND(ISNUMBER(R36),T36&lt;Criterios!$C$21),"Suspende",IF(T36&lt;Criterios!$C$21+Criterios!$C$22,"En riesgo","Aprueba"))))</f>
        <v/>
      </c>
      <c r="W36" s="11">
        <f>IF($B36="","",COUNTIF(H36,"&lt;"&amp;Criterios!$C$21)+COUNTIF(M36,"&lt;"&amp;Criterios!$C$21)+COUNTIF(R36,"&lt;"&amp;Criterios!$C$21))</f>
        <v/>
      </c>
      <c r="X36" s="17">
        <f>IF(OR($B36="",ISNUMBER(R36),NOT(ISNUMBER(H36)),NOT(ISNUMBER(M36)),R$5=0),"",IF((Criterios!$C$21*(H$5+M$5+R$5)-H$5*H36-M$5*M36)/R$5&lt;=0,"Ya aprueba",IF((Criterios!$C$21*(H$5+M$5+R$5)-H$5*H36-M$5*M36)/R$5&gt;10,"Imposible",ROUND((Criterios!$C$21*(H$5+M$5+R$5)-H$5*H36-M$5*M36)/R$5,2))))</f>
        <v/>
      </c>
      <c r="Y36" s="30">
        <f>IF($B36="","",IF(OR(V36="Suspende",V36="En riesgo"),S36+ROW()/1000000,""))</f>
        <v/>
      </c>
      <c r="Z36" s="30">
        <f>IF(S36="","",S36-ROW()/1000000)</f>
        <v/>
      </c>
    </row>
    <row r="37">
      <c r="B37" s="26" t="n"/>
      <c r="C37" s="27" t="n"/>
      <c r="D37" s="28" t="n"/>
      <c r="E37" s="28" t="n"/>
      <c r="F37" s="28" t="n"/>
      <c r="G37" s="28" t="n"/>
      <c r="H37" s="18">
        <f>IF(OR($B37="",COUNT(D37:G37)=0),"",SUMPRODUCT(D$5:G$5,D37:G37)/SUMPRODUCT(D$5:G$5*ISNUMBER(D37:G37)))</f>
        <v/>
      </c>
      <c r="I37" s="28" t="n"/>
      <c r="J37" s="28" t="n"/>
      <c r="K37" s="28" t="n"/>
      <c r="L37" s="28" t="n"/>
      <c r="M37" s="18">
        <f>IF(OR($B37="",COUNT(I37:L37)=0),"",SUMPRODUCT(I$5:L$5,I37:L37)/SUMPRODUCT(I$5:L$5*ISNUMBER(I37:L37)))</f>
        <v/>
      </c>
      <c r="N37" s="28" t="n"/>
      <c r="O37" s="28" t="n"/>
      <c r="P37" s="28" t="n"/>
      <c r="Q37" s="28" t="n"/>
      <c r="R37" s="18">
        <f>IF(OR($B37="",COUNT(N37:Q37)=0),"",SUMPRODUCT(N$5:Q$5,N37:Q37)/SUMPRODUCT(N$5:Q$5*ISNUMBER(N37:Q37)))</f>
        <v/>
      </c>
      <c r="S37" s="18">
        <f>IF(OR($B37="",COUNT(H37,M37,R37)=0),"",IFERROR((IF(ISNUMBER(H37),H$5*H37,0)+IF(ISNUMBER(M37),M$5*M37,0)+IF(ISNUMBER(R37),R$5*R37,0))/(IF(ISNUMBER(H37),H$5,0)+IF(ISNUMBER(M37),M$5,0)+IF(ISNUMBER(R37),R$5,0)),""))</f>
        <v/>
      </c>
      <c r="T37" s="29">
        <f>IF(S37="","",ROUND(S37,Criterios!$C$23))</f>
        <v/>
      </c>
      <c r="U37" s="20">
        <f>IF(T37="","",VLOOKUP(T37,Criterios!$F$7:$G$11,2,TRUE))</f>
        <v/>
      </c>
      <c r="V37" s="20">
        <f>IF($B37="","",IF(T37="","Sin notas",IF(AND(ISNUMBER(R37),T37&lt;Criterios!$C$21),"Suspende",IF(T37&lt;Criterios!$C$21+Criterios!$C$22,"En riesgo","Aprueba"))))</f>
        <v/>
      </c>
      <c r="W37" s="11">
        <f>IF($B37="","",COUNTIF(H37,"&lt;"&amp;Criterios!$C$21)+COUNTIF(M37,"&lt;"&amp;Criterios!$C$21)+COUNTIF(R37,"&lt;"&amp;Criterios!$C$21))</f>
        <v/>
      </c>
      <c r="X37" s="17">
        <f>IF(OR($B37="",ISNUMBER(R37),NOT(ISNUMBER(H37)),NOT(ISNUMBER(M37)),R$5=0),"",IF((Criterios!$C$21*(H$5+M$5+R$5)-H$5*H37-M$5*M37)/R$5&lt;=0,"Ya aprueba",IF((Criterios!$C$21*(H$5+M$5+R$5)-H$5*H37-M$5*M37)/R$5&gt;10,"Imposible",ROUND((Criterios!$C$21*(H$5+M$5+R$5)-H$5*H37-M$5*M37)/R$5,2))))</f>
        <v/>
      </c>
      <c r="Y37" s="30">
        <f>IF($B37="","",IF(OR(V37="Suspende",V37="En riesgo"),S37+ROW()/1000000,""))</f>
        <v/>
      </c>
      <c r="Z37" s="30">
        <f>IF(S37="","",S37-ROW()/1000000)</f>
        <v/>
      </c>
    </row>
    <row r="38">
      <c r="B38" s="26" t="n"/>
      <c r="C38" s="27" t="n"/>
      <c r="D38" s="28" t="n"/>
      <c r="E38" s="28" t="n"/>
      <c r="F38" s="28" t="n"/>
      <c r="G38" s="28" t="n"/>
      <c r="H38" s="18">
        <f>IF(OR($B38="",COUNT(D38:G38)=0),"",SUMPRODUCT(D$5:G$5,D38:G38)/SUMPRODUCT(D$5:G$5*ISNUMBER(D38:G38)))</f>
        <v/>
      </c>
      <c r="I38" s="28" t="n"/>
      <c r="J38" s="28" t="n"/>
      <c r="K38" s="28" t="n"/>
      <c r="L38" s="28" t="n"/>
      <c r="M38" s="18">
        <f>IF(OR($B38="",COUNT(I38:L38)=0),"",SUMPRODUCT(I$5:L$5,I38:L38)/SUMPRODUCT(I$5:L$5*ISNUMBER(I38:L38)))</f>
        <v/>
      </c>
      <c r="N38" s="28" t="n"/>
      <c r="O38" s="28" t="n"/>
      <c r="P38" s="28" t="n"/>
      <c r="Q38" s="28" t="n"/>
      <c r="R38" s="18">
        <f>IF(OR($B38="",COUNT(N38:Q38)=0),"",SUMPRODUCT(N$5:Q$5,N38:Q38)/SUMPRODUCT(N$5:Q$5*ISNUMBER(N38:Q38)))</f>
        <v/>
      </c>
      <c r="S38" s="18">
        <f>IF(OR($B38="",COUNT(H38,M38,R38)=0),"",IFERROR((IF(ISNUMBER(H38),H$5*H38,0)+IF(ISNUMBER(M38),M$5*M38,0)+IF(ISNUMBER(R38),R$5*R38,0))/(IF(ISNUMBER(H38),H$5,0)+IF(ISNUMBER(M38),M$5,0)+IF(ISNUMBER(R38),R$5,0)),""))</f>
        <v/>
      </c>
      <c r="T38" s="29">
        <f>IF(S38="","",ROUND(S38,Criterios!$C$23))</f>
        <v/>
      </c>
      <c r="U38" s="20">
        <f>IF(T38="","",VLOOKUP(T38,Criterios!$F$7:$G$11,2,TRUE))</f>
        <v/>
      </c>
      <c r="V38" s="20">
        <f>IF($B38="","",IF(T38="","Sin notas",IF(AND(ISNUMBER(R38),T38&lt;Criterios!$C$21),"Suspende",IF(T38&lt;Criterios!$C$21+Criterios!$C$22,"En riesgo","Aprueba"))))</f>
        <v/>
      </c>
      <c r="W38" s="11">
        <f>IF($B38="","",COUNTIF(H38,"&lt;"&amp;Criterios!$C$21)+COUNTIF(M38,"&lt;"&amp;Criterios!$C$21)+COUNTIF(R38,"&lt;"&amp;Criterios!$C$21))</f>
        <v/>
      </c>
      <c r="X38" s="17">
        <f>IF(OR($B38="",ISNUMBER(R38),NOT(ISNUMBER(H38)),NOT(ISNUMBER(M38)),R$5=0),"",IF((Criterios!$C$21*(H$5+M$5+R$5)-H$5*H38-M$5*M38)/R$5&lt;=0,"Ya aprueba",IF((Criterios!$C$21*(H$5+M$5+R$5)-H$5*H38-M$5*M38)/R$5&gt;10,"Imposible",ROUND((Criterios!$C$21*(H$5+M$5+R$5)-H$5*H38-M$5*M38)/R$5,2))))</f>
        <v/>
      </c>
      <c r="Y38" s="30">
        <f>IF($B38="","",IF(OR(V38="Suspende",V38="En riesgo"),S38+ROW()/1000000,""))</f>
        <v/>
      </c>
      <c r="Z38" s="30">
        <f>IF(S38="","",S38-ROW()/1000000)</f>
        <v/>
      </c>
    </row>
    <row r="39">
      <c r="B39" s="26" t="n"/>
      <c r="C39" s="27" t="n"/>
      <c r="D39" s="28" t="n"/>
      <c r="E39" s="28" t="n"/>
      <c r="F39" s="28" t="n"/>
      <c r="G39" s="28" t="n"/>
      <c r="H39" s="18">
        <f>IF(OR($B39="",COUNT(D39:G39)=0),"",SUMPRODUCT(D$5:G$5,D39:G39)/SUMPRODUCT(D$5:G$5*ISNUMBER(D39:G39)))</f>
        <v/>
      </c>
      <c r="I39" s="28" t="n"/>
      <c r="J39" s="28" t="n"/>
      <c r="K39" s="28" t="n"/>
      <c r="L39" s="28" t="n"/>
      <c r="M39" s="18">
        <f>IF(OR($B39="",COUNT(I39:L39)=0),"",SUMPRODUCT(I$5:L$5,I39:L39)/SUMPRODUCT(I$5:L$5*ISNUMBER(I39:L39)))</f>
        <v/>
      </c>
      <c r="N39" s="28" t="n"/>
      <c r="O39" s="28" t="n"/>
      <c r="P39" s="28" t="n"/>
      <c r="Q39" s="28" t="n"/>
      <c r="R39" s="18">
        <f>IF(OR($B39="",COUNT(N39:Q39)=0),"",SUMPRODUCT(N$5:Q$5,N39:Q39)/SUMPRODUCT(N$5:Q$5*ISNUMBER(N39:Q39)))</f>
        <v/>
      </c>
      <c r="S39" s="18">
        <f>IF(OR($B39="",COUNT(H39,M39,R39)=0),"",IFERROR((IF(ISNUMBER(H39),H$5*H39,0)+IF(ISNUMBER(M39),M$5*M39,0)+IF(ISNUMBER(R39),R$5*R39,0))/(IF(ISNUMBER(H39),H$5,0)+IF(ISNUMBER(M39),M$5,0)+IF(ISNUMBER(R39),R$5,0)),""))</f>
        <v/>
      </c>
      <c r="T39" s="29">
        <f>IF(S39="","",ROUND(S39,Criterios!$C$23))</f>
        <v/>
      </c>
      <c r="U39" s="20">
        <f>IF(T39="","",VLOOKUP(T39,Criterios!$F$7:$G$11,2,TRUE))</f>
        <v/>
      </c>
      <c r="V39" s="20">
        <f>IF($B39="","",IF(T39="","Sin notas",IF(AND(ISNUMBER(R39),T39&lt;Criterios!$C$21),"Suspende",IF(T39&lt;Criterios!$C$21+Criterios!$C$22,"En riesgo","Aprueba"))))</f>
        <v/>
      </c>
      <c r="W39" s="11">
        <f>IF($B39="","",COUNTIF(H39,"&lt;"&amp;Criterios!$C$21)+COUNTIF(M39,"&lt;"&amp;Criterios!$C$21)+COUNTIF(R39,"&lt;"&amp;Criterios!$C$21))</f>
        <v/>
      </c>
      <c r="X39" s="17">
        <f>IF(OR($B39="",ISNUMBER(R39),NOT(ISNUMBER(H39)),NOT(ISNUMBER(M39)),R$5=0),"",IF((Criterios!$C$21*(H$5+M$5+R$5)-H$5*H39-M$5*M39)/R$5&lt;=0,"Ya aprueba",IF((Criterios!$C$21*(H$5+M$5+R$5)-H$5*H39-M$5*M39)/R$5&gt;10,"Imposible",ROUND((Criterios!$C$21*(H$5+M$5+R$5)-H$5*H39-M$5*M39)/R$5,2))))</f>
        <v/>
      </c>
      <c r="Y39" s="30">
        <f>IF($B39="","",IF(OR(V39="Suspende",V39="En riesgo"),S39+ROW()/1000000,""))</f>
        <v/>
      </c>
      <c r="Z39" s="30">
        <f>IF(S39="","",S39-ROW()/1000000)</f>
        <v/>
      </c>
    </row>
    <row r="40">
      <c r="B40" s="26" t="n"/>
      <c r="C40" s="27" t="n"/>
      <c r="D40" s="28" t="n"/>
      <c r="E40" s="28" t="n"/>
      <c r="F40" s="28" t="n"/>
      <c r="G40" s="28" t="n"/>
      <c r="H40" s="18">
        <f>IF(OR($B40="",COUNT(D40:G40)=0),"",SUMPRODUCT(D$5:G$5,D40:G40)/SUMPRODUCT(D$5:G$5*ISNUMBER(D40:G40)))</f>
        <v/>
      </c>
      <c r="I40" s="28" t="n"/>
      <c r="J40" s="28" t="n"/>
      <c r="K40" s="28" t="n"/>
      <c r="L40" s="28" t="n"/>
      <c r="M40" s="18">
        <f>IF(OR($B40="",COUNT(I40:L40)=0),"",SUMPRODUCT(I$5:L$5,I40:L40)/SUMPRODUCT(I$5:L$5*ISNUMBER(I40:L40)))</f>
        <v/>
      </c>
      <c r="N40" s="28" t="n"/>
      <c r="O40" s="28" t="n"/>
      <c r="P40" s="28" t="n"/>
      <c r="Q40" s="28" t="n"/>
      <c r="R40" s="18">
        <f>IF(OR($B40="",COUNT(N40:Q40)=0),"",SUMPRODUCT(N$5:Q$5,N40:Q40)/SUMPRODUCT(N$5:Q$5*ISNUMBER(N40:Q40)))</f>
        <v/>
      </c>
      <c r="S40" s="18">
        <f>IF(OR($B40="",COUNT(H40,M40,R40)=0),"",IFERROR((IF(ISNUMBER(H40),H$5*H40,0)+IF(ISNUMBER(M40),M$5*M40,0)+IF(ISNUMBER(R40),R$5*R40,0))/(IF(ISNUMBER(H40),H$5,0)+IF(ISNUMBER(M40),M$5,0)+IF(ISNUMBER(R40),R$5,0)),""))</f>
        <v/>
      </c>
      <c r="T40" s="29">
        <f>IF(S40="","",ROUND(S40,Criterios!$C$23))</f>
        <v/>
      </c>
      <c r="U40" s="20">
        <f>IF(T40="","",VLOOKUP(T40,Criterios!$F$7:$G$11,2,TRUE))</f>
        <v/>
      </c>
      <c r="V40" s="20">
        <f>IF($B40="","",IF(T40="","Sin notas",IF(AND(ISNUMBER(R40),T40&lt;Criterios!$C$21),"Suspende",IF(T40&lt;Criterios!$C$21+Criterios!$C$22,"En riesgo","Aprueba"))))</f>
        <v/>
      </c>
      <c r="W40" s="11">
        <f>IF($B40="","",COUNTIF(H40,"&lt;"&amp;Criterios!$C$21)+COUNTIF(M40,"&lt;"&amp;Criterios!$C$21)+COUNTIF(R40,"&lt;"&amp;Criterios!$C$21))</f>
        <v/>
      </c>
      <c r="X40" s="17">
        <f>IF(OR($B40="",ISNUMBER(R40),NOT(ISNUMBER(H40)),NOT(ISNUMBER(M40)),R$5=0),"",IF((Criterios!$C$21*(H$5+M$5+R$5)-H$5*H40-M$5*M40)/R$5&lt;=0,"Ya aprueba",IF((Criterios!$C$21*(H$5+M$5+R$5)-H$5*H40-M$5*M40)/R$5&gt;10,"Imposible",ROUND((Criterios!$C$21*(H$5+M$5+R$5)-H$5*H40-M$5*M40)/R$5,2))))</f>
        <v/>
      </c>
      <c r="Y40" s="30">
        <f>IF($B40="","",IF(OR(V40="Suspende",V40="En riesgo"),S40+ROW()/1000000,""))</f>
        <v/>
      </c>
      <c r="Z40" s="30">
        <f>IF(S40="","",S40-ROW()/1000000)</f>
        <v/>
      </c>
    </row>
    <row r="41">
      <c r="B41" s="26" t="n"/>
      <c r="C41" s="27" t="n"/>
      <c r="D41" s="28" t="n"/>
      <c r="E41" s="28" t="n"/>
      <c r="F41" s="28" t="n"/>
      <c r="G41" s="28" t="n"/>
      <c r="H41" s="18">
        <f>IF(OR($B41="",COUNT(D41:G41)=0),"",SUMPRODUCT(D$5:G$5,D41:G41)/SUMPRODUCT(D$5:G$5*ISNUMBER(D41:G41)))</f>
        <v/>
      </c>
      <c r="I41" s="28" t="n"/>
      <c r="J41" s="28" t="n"/>
      <c r="K41" s="28" t="n"/>
      <c r="L41" s="28" t="n"/>
      <c r="M41" s="18">
        <f>IF(OR($B41="",COUNT(I41:L41)=0),"",SUMPRODUCT(I$5:L$5,I41:L41)/SUMPRODUCT(I$5:L$5*ISNUMBER(I41:L41)))</f>
        <v/>
      </c>
      <c r="N41" s="28" t="n"/>
      <c r="O41" s="28" t="n"/>
      <c r="P41" s="28" t="n"/>
      <c r="Q41" s="28" t="n"/>
      <c r="R41" s="18">
        <f>IF(OR($B41="",COUNT(N41:Q41)=0),"",SUMPRODUCT(N$5:Q$5,N41:Q41)/SUMPRODUCT(N$5:Q$5*ISNUMBER(N41:Q41)))</f>
        <v/>
      </c>
      <c r="S41" s="18">
        <f>IF(OR($B41="",COUNT(H41,M41,R41)=0),"",IFERROR((IF(ISNUMBER(H41),H$5*H41,0)+IF(ISNUMBER(M41),M$5*M41,0)+IF(ISNUMBER(R41),R$5*R41,0))/(IF(ISNUMBER(H41),H$5,0)+IF(ISNUMBER(M41),M$5,0)+IF(ISNUMBER(R41),R$5,0)),""))</f>
        <v/>
      </c>
      <c r="T41" s="29">
        <f>IF(S41="","",ROUND(S41,Criterios!$C$23))</f>
        <v/>
      </c>
      <c r="U41" s="20">
        <f>IF(T41="","",VLOOKUP(T41,Criterios!$F$7:$G$11,2,TRUE))</f>
        <v/>
      </c>
      <c r="V41" s="20">
        <f>IF($B41="","",IF(T41="","Sin notas",IF(AND(ISNUMBER(R41),T41&lt;Criterios!$C$21),"Suspende",IF(T41&lt;Criterios!$C$21+Criterios!$C$22,"En riesgo","Aprueba"))))</f>
        <v/>
      </c>
      <c r="W41" s="11">
        <f>IF($B41="","",COUNTIF(H41,"&lt;"&amp;Criterios!$C$21)+COUNTIF(M41,"&lt;"&amp;Criterios!$C$21)+COUNTIF(R41,"&lt;"&amp;Criterios!$C$21))</f>
        <v/>
      </c>
      <c r="X41" s="17">
        <f>IF(OR($B41="",ISNUMBER(R41),NOT(ISNUMBER(H41)),NOT(ISNUMBER(M41)),R$5=0),"",IF((Criterios!$C$21*(H$5+M$5+R$5)-H$5*H41-M$5*M41)/R$5&lt;=0,"Ya aprueba",IF((Criterios!$C$21*(H$5+M$5+R$5)-H$5*H41-M$5*M41)/R$5&gt;10,"Imposible",ROUND((Criterios!$C$21*(H$5+M$5+R$5)-H$5*H41-M$5*M41)/R$5,2))))</f>
        <v/>
      </c>
      <c r="Y41" s="30">
        <f>IF($B41="","",IF(OR(V41="Suspende",V41="En riesgo"),S41+ROW()/1000000,""))</f>
        <v/>
      </c>
      <c r="Z41" s="30">
        <f>IF(S41="","",S41-ROW()/1000000)</f>
        <v/>
      </c>
    </row>
    <row r="42">
      <c r="B42" s="26" t="n"/>
      <c r="C42" s="27" t="n"/>
      <c r="D42" s="28" t="n"/>
      <c r="E42" s="28" t="n"/>
      <c r="F42" s="28" t="n"/>
      <c r="G42" s="28" t="n"/>
      <c r="H42" s="18">
        <f>IF(OR($B42="",COUNT(D42:G42)=0),"",SUMPRODUCT(D$5:G$5,D42:G42)/SUMPRODUCT(D$5:G$5*ISNUMBER(D42:G42)))</f>
        <v/>
      </c>
      <c r="I42" s="28" t="n"/>
      <c r="J42" s="28" t="n"/>
      <c r="K42" s="28" t="n"/>
      <c r="L42" s="28" t="n"/>
      <c r="M42" s="18">
        <f>IF(OR($B42="",COUNT(I42:L42)=0),"",SUMPRODUCT(I$5:L$5,I42:L42)/SUMPRODUCT(I$5:L$5*ISNUMBER(I42:L42)))</f>
        <v/>
      </c>
      <c r="N42" s="28" t="n"/>
      <c r="O42" s="28" t="n"/>
      <c r="P42" s="28" t="n"/>
      <c r="Q42" s="28" t="n"/>
      <c r="R42" s="18">
        <f>IF(OR($B42="",COUNT(N42:Q42)=0),"",SUMPRODUCT(N$5:Q$5,N42:Q42)/SUMPRODUCT(N$5:Q$5*ISNUMBER(N42:Q42)))</f>
        <v/>
      </c>
      <c r="S42" s="18">
        <f>IF(OR($B42="",COUNT(H42,M42,R42)=0),"",IFERROR((IF(ISNUMBER(H42),H$5*H42,0)+IF(ISNUMBER(M42),M$5*M42,0)+IF(ISNUMBER(R42),R$5*R42,0))/(IF(ISNUMBER(H42),H$5,0)+IF(ISNUMBER(M42),M$5,0)+IF(ISNUMBER(R42),R$5,0)),""))</f>
        <v/>
      </c>
      <c r="T42" s="29">
        <f>IF(S42="","",ROUND(S42,Criterios!$C$23))</f>
        <v/>
      </c>
      <c r="U42" s="20">
        <f>IF(T42="","",VLOOKUP(T42,Criterios!$F$7:$G$11,2,TRUE))</f>
        <v/>
      </c>
      <c r="V42" s="20">
        <f>IF($B42="","",IF(T42="","Sin notas",IF(AND(ISNUMBER(R42),T42&lt;Criterios!$C$21),"Suspende",IF(T42&lt;Criterios!$C$21+Criterios!$C$22,"En riesgo","Aprueba"))))</f>
        <v/>
      </c>
      <c r="W42" s="11">
        <f>IF($B42="","",COUNTIF(H42,"&lt;"&amp;Criterios!$C$21)+COUNTIF(M42,"&lt;"&amp;Criterios!$C$21)+COUNTIF(R42,"&lt;"&amp;Criterios!$C$21))</f>
        <v/>
      </c>
      <c r="X42" s="17">
        <f>IF(OR($B42="",ISNUMBER(R42),NOT(ISNUMBER(H42)),NOT(ISNUMBER(M42)),R$5=0),"",IF((Criterios!$C$21*(H$5+M$5+R$5)-H$5*H42-M$5*M42)/R$5&lt;=0,"Ya aprueba",IF((Criterios!$C$21*(H$5+M$5+R$5)-H$5*H42-M$5*M42)/R$5&gt;10,"Imposible",ROUND((Criterios!$C$21*(H$5+M$5+R$5)-H$5*H42-M$5*M42)/R$5,2))))</f>
        <v/>
      </c>
      <c r="Y42" s="30">
        <f>IF($B42="","",IF(OR(V42="Suspende",V42="En riesgo"),S42+ROW()/1000000,""))</f>
        <v/>
      </c>
      <c r="Z42" s="30">
        <f>IF(S42="","",S42-ROW()/1000000)</f>
        <v/>
      </c>
    </row>
    <row r="43">
      <c r="B43" s="26" t="n"/>
      <c r="C43" s="27" t="n"/>
      <c r="D43" s="28" t="n"/>
      <c r="E43" s="28" t="n"/>
      <c r="F43" s="28" t="n"/>
      <c r="G43" s="28" t="n"/>
      <c r="H43" s="18">
        <f>IF(OR($B43="",COUNT(D43:G43)=0),"",SUMPRODUCT(D$5:G$5,D43:G43)/SUMPRODUCT(D$5:G$5*ISNUMBER(D43:G43)))</f>
        <v/>
      </c>
      <c r="I43" s="28" t="n"/>
      <c r="J43" s="28" t="n"/>
      <c r="K43" s="28" t="n"/>
      <c r="L43" s="28" t="n"/>
      <c r="M43" s="18">
        <f>IF(OR($B43="",COUNT(I43:L43)=0),"",SUMPRODUCT(I$5:L$5,I43:L43)/SUMPRODUCT(I$5:L$5*ISNUMBER(I43:L43)))</f>
        <v/>
      </c>
      <c r="N43" s="28" t="n"/>
      <c r="O43" s="28" t="n"/>
      <c r="P43" s="28" t="n"/>
      <c r="Q43" s="28" t="n"/>
      <c r="R43" s="18">
        <f>IF(OR($B43="",COUNT(N43:Q43)=0),"",SUMPRODUCT(N$5:Q$5,N43:Q43)/SUMPRODUCT(N$5:Q$5*ISNUMBER(N43:Q43)))</f>
        <v/>
      </c>
      <c r="S43" s="18">
        <f>IF(OR($B43="",COUNT(H43,M43,R43)=0),"",IFERROR((IF(ISNUMBER(H43),H$5*H43,0)+IF(ISNUMBER(M43),M$5*M43,0)+IF(ISNUMBER(R43),R$5*R43,0))/(IF(ISNUMBER(H43),H$5,0)+IF(ISNUMBER(M43),M$5,0)+IF(ISNUMBER(R43),R$5,0)),""))</f>
        <v/>
      </c>
      <c r="T43" s="29">
        <f>IF(S43="","",ROUND(S43,Criterios!$C$23))</f>
        <v/>
      </c>
      <c r="U43" s="20">
        <f>IF(T43="","",VLOOKUP(T43,Criterios!$F$7:$G$11,2,TRUE))</f>
        <v/>
      </c>
      <c r="V43" s="20">
        <f>IF($B43="","",IF(T43="","Sin notas",IF(AND(ISNUMBER(R43),T43&lt;Criterios!$C$21),"Suspende",IF(T43&lt;Criterios!$C$21+Criterios!$C$22,"En riesgo","Aprueba"))))</f>
        <v/>
      </c>
      <c r="W43" s="11">
        <f>IF($B43="","",COUNTIF(H43,"&lt;"&amp;Criterios!$C$21)+COUNTIF(M43,"&lt;"&amp;Criterios!$C$21)+COUNTIF(R43,"&lt;"&amp;Criterios!$C$21))</f>
        <v/>
      </c>
      <c r="X43" s="17">
        <f>IF(OR($B43="",ISNUMBER(R43),NOT(ISNUMBER(H43)),NOT(ISNUMBER(M43)),R$5=0),"",IF((Criterios!$C$21*(H$5+M$5+R$5)-H$5*H43-M$5*M43)/R$5&lt;=0,"Ya aprueba",IF((Criterios!$C$21*(H$5+M$5+R$5)-H$5*H43-M$5*M43)/R$5&gt;10,"Imposible",ROUND((Criterios!$C$21*(H$5+M$5+R$5)-H$5*H43-M$5*M43)/R$5,2))))</f>
        <v/>
      </c>
      <c r="Y43" s="30">
        <f>IF($B43="","",IF(OR(V43="Suspende",V43="En riesgo"),S43+ROW()/1000000,""))</f>
        <v/>
      </c>
      <c r="Z43" s="30">
        <f>IF(S43="","",S43-ROW()/1000000)</f>
        <v/>
      </c>
    </row>
    <row r="44">
      <c r="B44" s="26" t="n"/>
      <c r="C44" s="27" t="n"/>
      <c r="D44" s="28" t="n"/>
      <c r="E44" s="28" t="n"/>
      <c r="F44" s="28" t="n"/>
      <c r="G44" s="28" t="n"/>
      <c r="H44" s="18">
        <f>IF(OR($B44="",COUNT(D44:G44)=0),"",SUMPRODUCT(D$5:G$5,D44:G44)/SUMPRODUCT(D$5:G$5*ISNUMBER(D44:G44)))</f>
        <v/>
      </c>
      <c r="I44" s="28" t="n"/>
      <c r="J44" s="28" t="n"/>
      <c r="K44" s="28" t="n"/>
      <c r="L44" s="28" t="n"/>
      <c r="M44" s="18">
        <f>IF(OR($B44="",COUNT(I44:L44)=0),"",SUMPRODUCT(I$5:L$5,I44:L44)/SUMPRODUCT(I$5:L$5*ISNUMBER(I44:L44)))</f>
        <v/>
      </c>
      <c r="N44" s="28" t="n"/>
      <c r="O44" s="28" t="n"/>
      <c r="P44" s="28" t="n"/>
      <c r="Q44" s="28" t="n"/>
      <c r="R44" s="18">
        <f>IF(OR($B44="",COUNT(N44:Q44)=0),"",SUMPRODUCT(N$5:Q$5,N44:Q44)/SUMPRODUCT(N$5:Q$5*ISNUMBER(N44:Q44)))</f>
        <v/>
      </c>
      <c r="S44" s="18">
        <f>IF(OR($B44="",COUNT(H44,M44,R44)=0),"",IFERROR((IF(ISNUMBER(H44),H$5*H44,0)+IF(ISNUMBER(M44),M$5*M44,0)+IF(ISNUMBER(R44),R$5*R44,0))/(IF(ISNUMBER(H44),H$5,0)+IF(ISNUMBER(M44),M$5,0)+IF(ISNUMBER(R44),R$5,0)),""))</f>
        <v/>
      </c>
      <c r="T44" s="29">
        <f>IF(S44="","",ROUND(S44,Criterios!$C$23))</f>
        <v/>
      </c>
      <c r="U44" s="20">
        <f>IF(T44="","",VLOOKUP(T44,Criterios!$F$7:$G$11,2,TRUE))</f>
        <v/>
      </c>
      <c r="V44" s="20">
        <f>IF($B44="","",IF(T44="","Sin notas",IF(AND(ISNUMBER(R44),T44&lt;Criterios!$C$21),"Suspende",IF(T44&lt;Criterios!$C$21+Criterios!$C$22,"En riesgo","Aprueba"))))</f>
        <v/>
      </c>
      <c r="W44" s="11">
        <f>IF($B44="","",COUNTIF(H44,"&lt;"&amp;Criterios!$C$21)+COUNTIF(M44,"&lt;"&amp;Criterios!$C$21)+COUNTIF(R44,"&lt;"&amp;Criterios!$C$21))</f>
        <v/>
      </c>
      <c r="X44" s="17">
        <f>IF(OR($B44="",ISNUMBER(R44),NOT(ISNUMBER(H44)),NOT(ISNUMBER(M44)),R$5=0),"",IF((Criterios!$C$21*(H$5+M$5+R$5)-H$5*H44-M$5*M44)/R$5&lt;=0,"Ya aprueba",IF((Criterios!$C$21*(H$5+M$5+R$5)-H$5*H44-M$5*M44)/R$5&gt;10,"Imposible",ROUND((Criterios!$C$21*(H$5+M$5+R$5)-H$5*H44-M$5*M44)/R$5,2))))</f>
        <v/>
      </c>
      <c r="Y44" s="30">
        <f>IF($B44="","",IF(OR(V44="Suspende",V44="En riesgo"),S44+ROW()/1000000,""))</f>
        <v/>
      </c>
      <c r="Z44" s="30">
        <f>IF(S44="","",S44-ROW()/1000000)</f>
        <v/>
      </c>
    </row>
    <row r="45">
      <c r="B45" s="26" t="n"/>
      <c r="C45" s="27" t="n"/>
      <c r="D45" s="28" t="n"/>
      <c r="E45" s="28" t="n"/>
      <c r="F45" s="28" t="n"/>
      <c r="G45" s="28" t="n"/>
      <c r="H45" s="18">
        <f>IF(OR($B45="",COUNT(D45:G45)=0),"",SUMPRODUCT(D$5:G$5,D45:G45)/SUMPRODUCT(D$5:G$5*ISNUMBER(D45:G45)))</f>
        <v/>
      </c>
      <c r="I45" s="28" t="n"/>
      <c r="J45" s="28" t="n"/>
      <c r="K45" s="28" t="n"/>
      <c r="L45" s="28" t="n"/>
      <c r="M45" s="18">
        <f>IF(OR($B45="",COUNT(I45:L45)=0),"",SUMPRODUCT(I$5:L$5,I45:L45)/SUMPRODUCT(I$5:L$5*ISNUMBER(I45:L45)))</f>
        <v/>
      </c>
      <c r="N45" s="28" t="n"/>
      <c r="O45" s="28" t="n"/>
      <c r="P45" s="28" t="n"/>
      <c r="Q45" s="28" t="n"/>
      <c r="R45" s="18">
        <f>IF(OR($B45="",COUNT(N45:Q45)=0),"",SUMPRODUCT(N$5:Q$5,N45:Q45)/SUMPRODUCT(N$5:Q$5*ISNUMBER(N45:Q45)))</f>
        <v/>
      </c>
      <c r="S45" s="18">
        <f>IF(OR($B45="",COUNT(H45,M45,R45)=0),"",IFERROR((IF(ISNUMBER(H45),H$5*H45,0)+IF(ISNUMBER(M45),M$5*M45,0)+IF(ISNUMBER(R45),R$5*R45,0))/(IF(ISNUMBER(H45),H$5,0)+IF(ISNUMBER(M45),M$5,0)+IF(ISNUMBER(R45),R$5,0)),""))</f>
        <v/>
      </c>
      <c r="T45" s="29">
        <f>IF(S45="","",ROUND(S45,Criterios!$C$23))</f>
        <v/>
      </c>
      <c r="U45" s="20">
        <f>IF(T45="","",VLOOKUP(T45,Criterios!$F$7:$G$11,2,TRUE))</f>
        <v/>
      </c>
      <c r="V45" s="20">
        <f>IF($B45="","",IF(T45="","Sin notas",IF(AND(ISNUMBER(R45),T45&lt;Criterios!$C$21),"Suspende",IF(T45&lt;Criterios!$C$21+Criterios!$C$22,"En riesgo","Aprueba"))))</f>
        <v/>
      </c>
      <c r="W45" s="11">
        <f>IF($B45="","",COUNTIF(H45,"&lt;"&amp;Criterios!$C$21)+COUNTIF(M45,"&lt;"&amp;Criterios!$C$21)+COUNTIF(R45,"&lt;"&amp;Criterios!$C$21))</f>
        <v/>
      </c>
      <c r="X45" s="17">
        <f>IF(OR($B45="",ISNUMBER(R45),NOT(ISNUMBER(H45)),NOT(ISNUMBER(M45)),R$5=0),"",IF((Criterios!$C$21*(H$5+M$5+R$5)-H$5*H45-M$5*M45)/R$5&lt;=0,"Ya aprueba",IF((Criterios!$C$21*(H$5+M$5+R$5)-H$5*H45-M$5*M45)/R$5&gt;10,"Imposible",ROUND((Criterios!$C$21*(H$5+M$5+R$5)-H$5*H45-M$5*M45)/R$5,2))))</f>
        <v/>
      </c>
      <c r="Y45" s="30">
        <f>IF($B45="","",IF(OR(V45="Suspende",V45="En riesgo"),S45+ROW()/1000000,""))</f>
        <v/>
      </c>
      <c r="Z45" s="30">
        <f>IF(S45="","",S45-ROW()/1000000)</f>
        <v/>
      </c>
    </row>
    <row r="46">
      <c r="B46" s="26" t="n"/>
      <c r="C46" s="27" t="n"/>
      <c r="D46" s="28" t="n"/>
      <c r="E46" s="28" t="n"/>
      <c r="F46" s="28" t="n"/>
      <c r="G46" s="28" t="n"/>
      <c r="H46" s="18">
        <f>IF(OR($B46="",COUNT(D46:G46)=0),"",SUMPRODUCT(D$5:G$5,D46:G46)/SUMPRODUCT(D$5:G$5*ISNUMBER(D46:G46)))</f>
        <v/>
      </c>
      <c r="I46" s="28" t="n"/>
      <c r="J46" s="28" t="n"/>
      <c r="K46" s="28" t="n"/>
      <c r="L46" s="28" t="n"/>
      <c r="M46" s="18">
        <f>IF(OR($B46="",COUNT(I46:L46)=0),"",SUMPRODUCT(I$5:L$5,I46:L46)/SUMPRODUCT(I$5:L$5*ISNUMBER(I46:L46)))</f>
        <v/>
      </c>
      <c r="N46" s="28" t="n"/>
      <c r="O46" s="28" t="n"/>
      <c r="P46" s="28" t="n"/>
      <c r="Q46" s="28" t="n"/>
      <c r="R46" s="18">
        <f>IF(OR($B46="",COUNT(N46:Q46)=0),"",SUMPRODUCT(N$5:Q$5,N46:Q46)/SUMPRODUCT(N$5:Q$5*ISNUMBER(N46:Q46)))</f>
        <v/>
      </c>
      <c r="S46" s="18">
        <f>IF(OR($B46="",COUNT(H46,M46,R46)=0),"",IFERROR((IF(ISNUMBER(H46),H$5*H46,0)+IF(ISNUMBER(M46),M$5*M46,0)+IF(ISNUMBER(R46),R$5*R46,0))/(IF(ISNUMBER(H46),H$5,0)+IF(ISNUMBER(M46),M$5,0)+IF(ISNUMBER(R46),R$5,0)),""))</f>
        <v/>
      </c>
      <c r="T46" s="29">
        <f>IF(S46="","",ROUND(S46,Criterios!$C$23))</f>
        <v/>
      </c>
      <c r="U46" s="20">
        <f>IF(T46="","",VLOOKUP(T46,Criterios!$F$7:$G$11,2,TRUE))</f>
        <v/>
      </c>
      <c r="V46" s="20">
        <f>IF($B46="","",IF(T46="","Sin notas",IF(AND(ISNUMBER(R46),T46&lt;Criterios!$C$21),"Suspende",IF(T46&lt;Criterios!$C$21+Criterios!$C$22,"En riesgo","Aprueba"))))</f>
        <v/>
      </c>
      <c r="W46" s="11">
        <f>IF($B46="","",COUNTIF(H46,"&lt;"&amp;Criterios!$C$21)+COUNTIF(M46,"&lt;"&amp;Criterios!$C$21)+COUNTIF(R46,"&lt;"&amp;Criterios!$C$21))</f>
        <v/>
      </c>
      <c r="X46" s="17">
        <f>IF(OR($B46="",ISNUMBER(R46),NOT(ISNUMBER(H46)),NOT(ISNUMBER(M46)),R$5=0),"",IF((Criterios!$C$21*(H$5+M$5+R$5)-H$5*H46-M$5*M46)/R$5&lt;=0,"Ya aprueba",IF((Criterios!$C$21*(H$5+M$5+R$5)-H$5*H46-M$5*M46)/R$5&gt;10,"Imposible",ROUND((Criterios!$C$21*(H$5+M$5+R$5)-H$5*H46-M$5*M46)/R$5,2))))</f>
        <v/>
      </c>
      <c r="Y46" s="30">
        <f>IF($B46="","",IF(OR(V46="Suspende",V46="En riesgo"),S46+ROW()/1000000,""))</f>
        <v/>
      </c>
      <c r="Z46" s="30">
        <f>IF(S46="","",S46-ROW()/1000000)</f>
        <v/>
      </c>
    </row>
    <row r="47">
      <c r="B47" s="13" t="inlineStr">
        <is>
          <t>MEDIA DE LA CLASE</t>
        </is>
      </c>
      <c r="D47" s="31">
        <f>IFERROR(AVERAGE(D7:D46),"")</f>
        <v/>
      </c>
      <c r="E47" s="31">
        <f>IFERROR(AVERAGE(E7:E46),"")</f>
        <v/>
      </c>
      <c r="F47" s="31">
        <f>IFERROR(AVERAGE(F7:F46),"")</f>
        <v/>
      </c>
      <c r="G47" s="31">
        <f>IFERROR(AVERAGE(G7:G46),"")</f>
        <v/>
      </c>
      <c r="H47" s="31">
        <f>IFERROR(AVERAGE(H7:H46),"")</f>
        <v/>
      </c>
      <c r="I47" s="31">
        <f>IFERROR(AVERAGE(I7:I46),"")</f>
        <v/>
      </c>
      <c r="J47" s="31">
        <f>IFERROR(AVERAGE(J7:J46),"")</f>
        <v/>
      </c>
      <c r="K47" s="31">
        <f>IFERROR(AVERAGE(K7:K46),"")</f>
        <v/>
      </c>
      <c r="L47" s="31">
        <f>IFERROR(AVERAGE(L7:L46),"")</f>
        <v/>
      </c>
      <c r="M47" s="31">
        <f>IFERROR(AVERAGE(M7:M46),"")</f>
        <v/>
      </c>
      <c r="N47" s="31">
        <f>IFERROR(AVERAGE(N7:N46),"")</f>
        <v/>
      </c>
      <c r="O47" s="31">
        <f>IFERROR(AVERAGE(O7:O46),"")</f>
        <v/>
      </c>
      <c r="P47" s="31">
        <f>IFERROR(AVERAGE(P7:P46),"")</f>
        <v/>
      </c>
      <c r="Q47" s="31">
        <f>IFERROR(AVERAGE(Q7:Q46),"")</f>
        <v/>
      </c>
      <c r="R47" s="31">
        <f>IFERROR(AVERAGE(R7:R46),"")</f>
        <v/>
      </c>
      <c r="S47" s="31">
        <f>IFERROR(AVERAGE(S7:S46),"")</f>
        <v/>
      </c>
      <c r="T47" s="31">
        <f>IFERROR(AVERAGE(T7:T46),"")</f>
        <v/>
      </c>
    </row>
    <row r="49">
      <c r="B49" s="22" t="inlineStr">
        <is>
          <t>Hasta 40 alumnos. Celda en rojo = nota por debajo del aprobado. Si una evaluación o categoría está vacía, no cuenta: la nota final usa solo lo ya evaluado. Las dos últimas columnas son auxiliares del Panel: no las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X3"/>
    <mergeCell ref="B2:X2"/>
  </mergeCells>
  <conditionalFormatting sqref="D7:G46">
    <cfRule type="expression" priority="1" dxfId="0">
      <formula>AND(ISNUMBER(D7),D7&lt;Criterios!$C$21)</formula>
    </cfRule>
  </conditionalFormatting>
  <conditionalFormatting sqref="H7:H46">
    <cfRule type="expression" priority="2" dxfId="0">
      <formula>AND(ISNUMBER(H7),H7&lt;Criterios!$C$21)</formula>
    </cfRule>
  </conditionalFormatting>
  <conditionalFormatting sqref="I7:L46">
    <cfRule type="expression" priority="3" dxfId="0">
      <formula>AND(ISNUMBER(I7),I7&lt;Criterios!$C$21)</formula>
    </cfRule>
  </conditionalFormatting>
  <conditionalFormatting sqref="M7:M46">
    <cfRule type="expression" priority="4" dxfId="0">
      <formula>AND(ISNUMBER(M7),M7&lt;Criterios!$C$21)</formula>
    </cfRule>
  </conditionalFormatting>
  <conditionalFormatting sqref="N7:Q46">
    <cfRule type="expression" priority="5" dxfId="0">
      <formula>AND(ISNUMBER(N7),N7&lt;Criterios!$C$21)</formula>
    </cfRule>
  </conditionalFormatting>
  <conditionalFormatting sqref="R7:R46">
    <cfRule type="expression" priority="6" dxfId="0">
      <formula>AND(ISNUMBER(R7),R7&lt;Criterios!$C$21)</formula>
    </cfRule>
  </conditionalFormatting>
  <conditionalFormatting sqref="V7:V46">
    <cfRule type="cellIs" priority="7" operator="equal" dxfId="0">
      <formula>"Suspende"</formula>
    </cfRule>
    <cfRule type="cellIs" priority="8" operator="equal" dxfId="1">
      <formula>"En riesgo"</formula>
    </cfRule>
    <cfRule type="cellIs" priority="9" operator="equal" dxfId="2">
      <formula>"Aprueba"</formula>
    </cfRule>
  </conditionalFormatting>
  <conditionalFormatting sqref="S7:S46">
    <cfRule type="dataBar" priority="10">
      <dataBar>
        <cfvo type="num" val="0"/>
        <cfvo type="max"/>
        <color rgb="0010B981"/>
      </dataBar>
    </cfRule>
  </conditionalFormatting>
  <dataValidations count="1">
    <dataValidation sqref="D7:G46 I7:L46 N7:Q46" showDropDown="0" showInputMessage="0" showErrorMessage="1" allowBlank="1" errorTitle="Nota no válida" error="Escribe una nota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3" customWidth="1" min="3" max="3"/>
    <col width="52" customWidth="1" min="4" max="4"/>
    <col width="4" customWidth="1" min="5" max="5"/>
    <col width="14" customWidth="1" min="6" max="6"/>
    <col width="18" customWidth="1" min="7" max="7"/>
  </cols>
  <sheetData>
    <row r="2" ht="34" customHeight="1">
      <c r="B2" s="1" t="inlineStr">
        <is>
          <t>Criterios de calificación</t>
        </is>
      </c>
      <c r="C2" s="2" t="n"/>
      <c r="D2" s="2" t="n"/>
      <c r="E2" s="2" t="n"/>
      <c r="F2" s="2" t="n"/>
      <c r="G2" s="2" t="n"/>
    </row>
    <row r="3">
      <c r="B3" s="3" t="inlineStr">
        <is>
          <t>Pesos editables: cada bloque debe sumar 100 %. Son parámetros de ejemplo, no cifras oficiales: usa los de tu programación.</t>
        </is>
      </c>
    </row>
    <row r="5">
      <c r="B5" s="9" t="inlineStr">
        <is>
          <t>PESO DE CADA CATEGORÍA</t>
        </is>
      </c>
      <c r="F5" s="9" t="inlineStr">
        <is>
          <t>ESCALA DE CALIFICACIONES</t>
        </is>
      </c>
    </row>
    <row r="6" ht="26" customHeight="1">
      <c r="B6" s="10" t="inlineStr">
        <is>
          <t>Categoría</t>
        </is>
      </c>
      <c r="C6" s="10" t="inlineStr">
        <is>
          <t>Peso</t>
        </is>
      </c>
      <c r="D6" s="10" t="inlineStr">
        <is>
          <t>Qué incluye</t>
        </is>
      </c>
      <c r="F6" s="10" t="inlineStr">
        <is>
          <t>Nota desde</t>
        </is>
      </c>
      <c r="G6" s="10" t="inlineStr">
        <is>
          <t>Calificación</t>
        </is>
      </c>
    </row>
    <row r="7">
      <c r="B7" s="26" t="inlineStr">
        <is>
          <t>Exámenes</t>
        </is>
      </c>
      <c r="C7" s="32" t="n">
        <v>0.5</v>
      </c>
      <c r="D7" s="26" t="inlineStr">
        <is>
          <t>Pruebas escritas, controles y exámenes de evaluación</t>
        </is>
      </c>
      <c r="F7" s="28" t="n">
        <v>0</v>
      </c>
      <c r="G7" s="26" t="inlineStr">
        <is>
          <t>Insuficiente</t>
        </is>
      </c>
    </row>
    <row r="8">
      <c r="B8" s="26" t="inlineStr">
        <is>
          <t>Trabajos</t>
        </is>
      </c>
      <c r="C8" s="32" t="n">
        <v>0.25</v>
      </c>
      <c r="D8" s="26" t="inlineStr">
        <is>
          <t>Trabajos, proyectos, cuaderno y tareas entregadas</t>
        </is>
      </c>
      <c r="F8" s="28" t="n">
        <v>5</v>
      </c>
      <c r="G8" s="26" t="inlineStr">
        <is>
          <t>Suficiente</t>
        </is>
      </c>
    </row>
    <row r="9">
      <c r="B9" s="26" t="inlineStr">
        <is>
          <t>Participación</t>
        </is>
      </c>
      <c r="C9" s="32" t="n">
        <v>0.15</v>
      </c>
      <c r="D9" s="26" t="inlineStr">
        <is>
          <t>Intervenciones, preguntas y trabajo en el aula</t>
        </is>
      </c>
      <c r="F9" s="28" t="n">
        <v>6</v>
      </c>
      <c r="G9" s="26" t="inlineStr">
        <is>
          <t>Bien</t>
        </is>
      </c>
    </row>
    <row r="10">
      <c r="B10" s="26" t="inlineStr">
        <is>
          <t>Actitud</t>
        </is>
      </c>
      <c r="C10" s="32" t="n">
        <v>0.1</v>
      </c>
      <c r="D10" s="26" t="inlineStr">
        <is>
          <t>Comportamiento, puntualidad y esfuerzo</t>
        </is>
      </c>
      <c r="F10" s="28" t="n">
        <v>7</v>
      </c>
      <c r="G10" s="26" t="inlineStr">
        <is>
          <t>Notable</t>
        </is>
      </c>
    </row>
    <row r="11">
      <c r="B11" s="13" t="inlineStr">
        <is>
          <t>TOTAL (debe ser 100 %)</t>
        </is>
      </c>
      <c r="C11" s="15">
        <f>SUM(C7:C10)</f>
        <v/>
      </c>
      <c r="D11" s="8">
        <f>IF(ROUND(C11,4)=1,"Correcto: suma 100 %","Revisa: suma "&amp;TEXT(C11,"0.0%")&amp;" en lugar de 100 %")</f>
        <v/>
      </c>
      <c r="F11" s="28" t="n">
        <v>9</v>
      </c>
      <c r="G11" s="26" t="inlineStr">
        <is>
          <t>Sobresaliente</t>
        </is>
      </c>
    </row>
    <row r="12">
      <c r="F12" s="22" t="inlineStr">
        <is>
          <t>Ordena de menor a mayor.</t>
        </is>
      </c>
    </row>
    <row r="13">
      <c r="B13" s="9" t="inlineStr">
        <is>
          <t>PESO DE CADA EVALUACIÓN EN LA NOTA FINAL</t>
        </is>
      </c>
    </row>
    <row r="14" ht="26" customHeight="1">
      <c r="B14" s="10" t="inlineStr">
        <is>
          <t>Evaluación</t>
        </is>
      </c>
      <c r="C14" s="10" t="inlineStr">
        <is>
          <t>Peso</t>
        </is>
      </c>
      <c r="D14" s="10" t="inlineStr">
        <is>
          <t>Periodo</t>
        </is>
      </c>
    </row>
    <row r="15">
      <c r="B15" s="16" t="inlineStr">
        <is>
          <t>1ª evaluación</t>
        </is>
      </c>
      <c r="C15" s="32" t="n">
        <v>0.3</v>
      </c>
      <c r="D15" s="26" t="inlineStr">
        <is>
          <t>Septiembre - diciembre</t>
        </is>
      </c>
    </row>
    <row r="16">
      <c r="B16" s="16" t="inlineStr">
        <is>
          <t>2ª evaluación</t>
        </is>
      </c>
      <c r="C16" s="32" t="n">
        <v>0.3</v>
      </c>
      <c r="D16" s="26" t="inlineStr">
        <is>
          <t>Enero - marzo</t>
        </is>
      </c>
    </row>
    <row r="17">
      <c r="B17" s="16" t="inlineStr">
        <is>
          <t>3ª evaluación</t>
        </is>
      </c>
      <c r="C17" s="32" t="n">
        <v>0.4</v>
      </c>
      <c r="D17" s="26" t="inlineStr">
        <is>
          <t>Abril - junio</t>
        </is>
      </c>
    </row>
    <row r="18">
      <c r="B18" s="13" t="inlineStr">
        <is>
          <t>TOTAL (debe ser 100 %)</t>
        </is>
      </c>
      <c r="C18" s="15">
        <f>SUM(C15:C17)</f>
        <v/>
      </c>
      <c r="D18" s="8">
        <f>IF(ROUND(C18,4)=1,"Correcto: suma 100 %","Revisa: suma "&amp;TEXT(C18,"0.0%")&amp;" en lugar de 100 %")</f>
        <v/>
      </c>
    </row>
    <row r="20">
      <c r="B20" s="9" t="inlineStr">
        <is>
          <t>PARÁMETROS</t>
        </is>
      </c>
    </row>
    <row r="21">
      <c r="B21" s="33" t="inlineStr">
        <is>
          <t>Nota de aprobado</t>
        </is>
      </c>
      <c r="C21" s="28" t="n">
        <v>5</v>
      </c>
      <c r="D21" s="22" t="inlineStr">
        <is>
          <t>Por debajo de este valor la nota es suspensa.</t>
        </is>
      </c>
    </row>
    <row r="22">
      <c r="B22" s="33" t="inlineStr">
        <is>
          <t>Margen de riesgo (puntos sobre el aprobado)</t>
        </is>
      </c>
      <c r="C22" s="28" t="n">
        <v>0.5</v>
      </c>
      <c r="D22" s="22" t="inlineStr">
        <is>
          <t>Entre el aprobado y aprobado + margen se marca «En riesgo».</t>
        </is>
      </c>
    </row>
    <row r="23">
      <c r="B23" s="33" t="inlineStr">
        <is>
          <t>Decimales de la nota final redondeada</t>
        </is>
      </c>
      <c r="C23" s="34" t="n">
        <v>0</v>
      </c>
      <c r="D23" s="22" t="inlineStr">
        <is>
          <t>0 = nota entera; 1 = un decimal.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D11">
    <cfRule type="expression" priority="1" dxfId="0">
      <formula>ROUND($C$11,4)&lt;&gt;1</formula>
    </cfRule>
    <cfRule type="expression" priority="2" dxfId="2">
      <formula>ROUND($C$11,4)=1</formula>
    </cfRule>
  </conditionalFormatting>
  <conditionalFormatting sqref="D18">
    <cfRule type="expression" priority="3" dxfId="0">
      <formula>ROUND($C$18,4)&lt;&gt;1</formula>
    </cfRule>
    <cfRule type="expression" priority="4" dxfId="2">
      <formula>ROUND($C$18,4)=1</formula>
    </cfRule>
  </conditionalFormatting>
  <dataValidations count="1">
    <dataValidation sqref="C7:C10 C15:C17" showDropDown="0" showInputMessage="0" showErrorMessage="1" allowBlank="1" errorTitle="Peso no válido" error="Escribe un porcentaje entre 0 % y 1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Calculadora de la nota final del curso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5" t="inlineStr">
        <is>
          <t>1.  Abre la hoja «Criterios» y revisa el peso de cada categoría (C7:C10: exámenes, trabajos, participación y actitud). Deben sumar 100 %; la celda D11 te avisa.</t>
        </is>
      </c>
    </row>
    <row r="7" ht="30" customHeight="1">
      <c r="B7" s="35" t="inlineStr">
        <is>
          <t>2.  En «Criterios» fija también el peso de cada evaluación en la nota final (C15:C17). Con 30 %, 30 % y 40 % la 3.ª evaluación pesa algo más; cámbialo si tu centro usa otro reparto.</t>
        </is>
      </c>
    </row>
    <row r="8" ht="30" customHeight="1">
      <c r="B8" s="35" t="inlineStr">
        <is>
          <t>3.  Ajusta los parámetros: nota de aprobado (C21), margen de riesgo (C22) y decimales de la nota final (C23). La escala de calificaciones está en F7:G11.</t>
        </is>
      </c>
    </row>
    <row r="9" ht="30" customHeight="1">
      <c r="B9" s="35" t="inlineStr">
        <is>
          <t>4.  Ve a «Notas» y escribe en la columna B el nombre de cada alumno y en C su grupo. Hay hueco para 40 alumnos (filas 7 a 46).</t>
        </is>
      </c>
    </row>
    <row r="10" ht="30" customHeight="1">
      <c r="B10" s="35" t="inlineStr">
        <is>
          <t>5.  Anota la nota de 0 a 10 de cada categoría en las celdas crema de cada evaluación. Si todavía no hay nota, déjala vacía: no cuenta como un 0.</t>
        </is>
      </c>
    </row>
    <row r="11" ht="30" customHeight="1">
      <c r="B11" s="35" t="inlineStr">
        <is>
          <t>6.  La nota de cada evaluación, la nota final, su redondeo, la calificación y el estado (Aprueba, En riesgo, Suspende) se calculan solos en las columnas verdes.</t>
        </is>
      </c>
    </row>
    <row r="12" ht="30" customHeight="1">
      <c r="B12" s="35" t="inlineStr">
        <is>
          <t>7.  Mira la columna «Nota necesaria 3.ª eval.»: indica la nota que necesita un alumno en la última evaluación para llegar al aprobado.</t>
        </is>
      </c>
    </row>
    <row r="13" ht="30" customHeight="1">
      <c r="B13" s="35" t="inlineStr">
        <is>
          <t>8.  Consulta la hoja «Panel»: KPIs de la clase, distribución de calificaciones, medias por evaluación, mejores notas y lista de alumnos en riesgo.</t>
        </is>
      </c>
    </row>
    <row r="15">
      <c r="B15" s="9" t="inlineStr">
        <is>
          <t>CONSEJOS</t>
        </is>
      </c>
    </row>
    <row r="16" ht="30" customHeight="1">
      <c r="B16" s="35" t="inlineStr">
        <is>
          <t>•  Los pesos, el aprobado y la escala son parámetros editables de ejemplo, no cifras oficiales: aplica los de la programación de tu centro.</t>
        </is>
      </c>
    </row>
    <row r="17" ht="30" customHeight="1">
      <c r="B17" s="35" t="inlineStr">
        <is>
          <t>•  Para empezar un curso nuevo, borra solo las celdas crema de «Notas» (nombres y notas) y deja las fórmulas.</t>
        </is>
      </c>
    </row>
    <row r="18" ht="30" customHeight="1">
      <c r="B18" s="35" t="inlineStr">
        <is>
          <t>•  Una nota final «En riesgo» no significa que vaya a suspender: avisa de que está cerca del aprobado o de que aún faltan notas por entrar.</t>
        </is>
      </c>
    </row>
    <row r="19" ht="18" customHeight="1">
      <c r="B19" s="35" t="inlineStr">
        <is>
          <t>•  Hoja protegida sin contraseña (Revisar &gt; Desproteger hoja) por si quieres añadir columnas.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36" t="inlineStr">
        <is>
          <t>Herramienta orientativa de organización docente. Los criterios de evaluación y calificación oficiales son los que establezca tu centro y la normativa vigente.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2026-10-03T09:49:36Z</dcterms:created>
  <dcterms:modified xmlns:dcterms="http://purl.org/dc/terms/" xmlns:xsi="http://www.w3.org/2001/XMLSchema-instance" xsi:type="dcterms:W3CDTF">2026-10-03T09:49:36Z</dcterms:modified>
</cp:coreProperties>
</file>