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ventos" sheetId="2" state="visible" r:id="rId2"/>
    <sheet xmlns:r="http://schemas.openxmlformats.org/officeDocument/2006/relationships" name="Meses" sheetId="3" state="visible" r:id="rId3"/>
    <sheet xmlns:r="http://schemas.openxmlformats.org/officeDocument/2006/relationships" name="Dí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0000"/>
    <numFmt numFmtId="167" formatCode="mm/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i val="1"/>
      <color rgb="006B7280"/>
      <sz val="8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0" borderId="0" applyAlignment="1" pivotButton="0" quotePrefix="0" xfId="0">
      <alignment horizontal="right" vertical="center"/>
    </xf>
    <xf numFmtId="0" fontId="5" fillId="4" borderId="1" applyAlignment="1" applyProtection="1" pivotButton="0" quotePrefix="0" xfId="0">
      <alignment horizontal="center" vertical="center"/>
      <protection locked="0" hidden="0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165" fontId="8" fillId="0" borderId="1" applyAlignment="1" pivotButton="0" quotePrefix="0" xfId="0">
      <alignment horizontal="center" vertical="center"/>
    </xf>
    <xf numFmtId="1" fontId="5" fillId="4" borderId="1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vertical="center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0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wrapText="1"/>
    </xf>
    <xf numFmtId="0" fontId="5" fillId="4" borderId="1" applyAlignment="1" applyProtection="1" pivotButton="0" quotePrefix="0" xfId="0">
      <alignment vertical="center"/>
      <protection locked="0" hidden="0"/>
    </xf>
    <xf numFmtId="165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Días lectivos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'Meses'!F7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'Meses'!$B$8:$B$17</f>
            </numRef>
          </cat>
          <val>
            <numRef>
              <f>'Meses'!$F$8:$F$17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7" customWidth="1" min="3" max="3"/>
    <col width="14" customWidth="1" min="4" max="4"/>
    <col width="14" customWidth="1" min="5" max="5"/>
    <col width="18" customWidth="1" min="6" max="6"/>
    <col width="14" customWidth="1" min="7" max="7"/>
    <col width="13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del calendario escolar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del curso: días lectivos, cuenta atrás y próximos eventos.</t>
        </is>
      </c>
    </row>
    <row r="5" ht="20" customHeight="1">
      <c r="B5" s="4" t="inlineStr">
        <is>
          <t>Curso:</t>
        </is>
      </c>
      <c r="C5" s="5" t="inlineStr">
        <is>
          <t>2026-2027</t>
        </is>
      </c>
      <c r="D5" s="4" t="inlineStr">
        <is>
          <t>Inicio de clases:</t>
        </is>
      </c>
      <c r="E5" s="6" t="n">
        <v>46273</v>
      </c>
      <c r="F5" s="4" t="inlineStr">
        <is>
          <t>Fin de clases:</t>
        </is>
      </c>
      <c r="G5" s="6" t="n">
        <v>46560</v>
      </c>
    </row>
    <row r="6" ht="20" customHeight="1">
      <c r="B6" s="4" t="inlineStr">
        <is>
          <t>Hoy (opcional):</t>
        </is>
      </c>
      <c r="C6" s="6" t="n"/>
      <c r="D6" s="4" t="inlineStr">
        <is>
          <t>Fecha de referencia:</t>
        </is>
      </c>
      <c r="E6" s="7">
        <f>IF(C6="",TODAY(),C6)</f>
        <v/>
      </c>
      <c r="F6" s="4" t="inlineStr">
        <is>
          <t>Aviso (días):</t>
        </is>
      </c>
      <c r="G6" s="8" t="n">
        <v>7</v>
      </c>
      <c r="H6" s="9" t="inlineStr">
        <is>
          <t>(C6 vacío = hoy)</t>
        </is>
      </c>
    </row>
    <row r="8" ht="26" customHeight="1">
      <c r="B8" s="10" t="inlineStr">
        <is>
          <t>DÍAS LECTIVOS DEL CURSO</t>
        </is>
      </c>
      <c r="C8" s="10" t="inlineStr">
        <is>
          <t>LECTIVOS QUE QUEDAN</t>
        </is>
      </c>
      <c r="E8" s="10" t="inlineStr">
        <is>
          <t>CURSO COMPLETADO</t>
        </is>
      </c>
      <c r="G8" s="10" t="inlineStr">
        <is>
          <t>DÍAS PARA FIN DE CLASES</t>
        </is>
      </c>
    </row>
    <row r="9" ht="38" customHeight="1">
      <c r="B9" s="11">
        <f>Meses!F18</f>
        <v/>
      </c>
      <c r="C9" s="11">
        <f>Meses!F18-Meses!G18</f>
        <v/>
      </c>
      <c r="E9" s="12">
        <f>IFERROR(Meses!G18/Meses!F18,0)</f>
        <v/>
      </c>
      <c r="G9" s="11">
        <f>MAX(0,G5-E6)</f>
        <v/>
      </c>
    </row>
    <row r="11">
      <c r="B11" s="13" t="inlineStr">
        <is>
          <t>CUENTA ATRÁS</t>
        </is>
      </c>
    </row>
    <row r="12" ht="26" customHeight="1">
      <c r="B12" s="14" t="inlineStr">
        <is>
          <t>Hito</t>
        </is>
      </c>
      <c r="C12" s="14" t="inlineStr">
        <is>
          <t>Evento</t>
        </is>
      </c>
      <c r="D12" s="15" t="n"/>
      <c r="E12" s="16" t="n"/>
      <c r="F12" s="14" t="inlineStr">
        <is>
          <t>Desde</t>
        </is>
      </c>
      <c r="G12" s="14" t="inlineStr">
        <is>
          <t>Hasta</t>
        </is>
      </c>
      <c r="H12" s="14" t="inlineStr">
        <is>
          <t>Faltan (días)</t>
        </is>
      </c>
    </row>
    <row r="13">
      <c r="B13" s="17" t="inlineStr">
        <is>
          <t>Próximo evento</t>
        </is>
      </c>
      <c r="C13" s="18">
        <f>IFERROR(INDEX(Eventos!$B$8:$B$47,MATCH(SMALL(Eventos!$N$8:$N$47,1),Eventos!$N$8:$N$47,0)),"Sin eventos")</f>
        <v/>
      </c>
      <c r="D13" s="15" t="n"/>
      <c r="E13" s="16" t="n"/>
      <c r="F13" s="19">
        <f>IFERROR(INDEX(Eventos!$D$8:$D$47,MATCH(SMALL(Eventos!$N$8:$N$47,1),Eventos!$N$8:$N$47,0)),"")</f>
        <v/>
      </c>
      <c r="G13" s="19">
        <f>IFERROR(INDEX(Eventos!$M$8:$M$47,MATCH(SMALL(Eventos!$N$8:$N$47,1),Eventos!$N$8:$N$47,0)),"")</f>
        <v/>
      </c>
      <c r="H13" s="20">
        <f>IF(ISNUMBER(F13),MAX(0,F13-$E$6),"")</f>
        <v/>
      </c>
    </row>
    <row r="14">
      <c r="B14" s="17" t="inlineStr">
        <is>
          <t>Próximo día sin clase</t>
        </is>
      </c>
      <c r="C14" s="18">
        <f>IFERROR(INDEX(Eventos!$B$8:$B$47,MATCH(SMALL(Eventos!$P$8:$P$47,1),Eventos!$P$8:$P$47,0)),"Sin eventos")</f>
        <v/>
      </c>
      <c r="D14" s="15" t="n"/>
      <c r="E14" s="16" t="n"/>
      <c r="F14" s="19">
        <f>IFERROR(INDEX(Eventos!$D$8:$D$47,MATCH(SMALL(Eventos!$P$8:$P$47,1),Eventos!$P$8:$P$47,0)),"")</f>
        <v/>
      </c>
      <c r="G14" s="19">
        <f>IFERROR(INDEX(Eventos!$M$8:$M$47,MATCH(SMALL(Eventos!$P$8:$P$47,1),Eventos!$P$8:$P$47,0)),"")</f>
        <v/>
      </c>
      <c r="H14" s="20">
        <f>IF(ISNUMBER(F14),MAX(0,F14-$E$6),"")</f>
        <v/>
      </c>
    </row>
    <row r="15">
      <c r="B15" s="17" t="inlineStr">
        <is>
          <t>Próxima evaluación</t>
        </is>
      </c>
      <c r="C15" s="18">
        <f>IFERROR(INDEX(Eventos!$B$8:$B$47,MATCH(SMALL(Eventos!$O$8:$O$47,1),Eventos!$O$8:$O$47,0)),"Sin eventos")</f>
        <v/>
      </c>
      <c r="D15" s="15" t="n"/>
      <c r="E15" s="16" t="n"/>
      <c r="F15" s="19">
        <f>IFERROR(INDEX(Eventos!$D$8:$D$47,MATCH(SMALL(Eventos!$O$8:$O$47,1),Eventos!$O$8:$O$47,0)),"")</f>
        <v/>
      </c>
      <c r="G15" s="19">
        <f>IFERROR(INDEX(Eventos!$M$8:$M$47,MATCH(SMALL(Eventos!$O$8:$O$47,1),Eventos!$O$8:$O$47,0)),"")</f>
        <v/>
      </c>
      <c r="H15" s="20">
        <f>IF(ISNUMBER(F15),MAX(0,F15-$E$6),"")</f>
        <v/>
      </c>
    </row>
    <row r="16">
      <c r="B16" s="17" t="inlineStr">
        <is>
          <t>Último día de clase</t>
        </is>
      </c>
      <c r="C16" s="18">
        <f>"Fin del curso "&amp;C5</f>
        <v/>
      </c>
      <c r="D16" s="15" t="n"/>
      <c r="E16" s="16" t="n"/>
      <c r="F16" s="19">
        <f>G5</f>
        <v/>
      </c>
      <c r="G16" s="19">
        <f>G5</f>
        <v/>
      </c>
      <c r="H16" s="20">
        <f>MAX(0,F16-$E$6)</f>
        <v/>
      </c>
    </row>
    <row r="18">
      <c r="B18" s="13" t="inlineStr">
        <is>
          <t>PRÓXIMOS 8 EVENTOS</t>
        </is>
      </c>
    </row>
    <row r="19" ht="26" customHeight="1">
      <c r="B19" s="14" t="inlineStr">
        <is>
          <t>Evento</t>
        </is>
      </c>
      <c r="C19" s="14" t="inlineStr">
        <is>
          <t>Tipo</t>
        </is>
      </c>
      <c r="D19" s="14" t="inlineStr">
        <is>
          <t>Desde</t>
        </is>
      </c>
      <c r="E19" s="14" t="inlineStr">
        <is>
          <t>Hasta</t>
        </is>
      </c>
      <c r="F19" s="14" t="inlineStr">
        <is>
          <t>Afecta a</t>
        </is>
      </c>
      <c r="G19" s="14" t="inlineStr">
        <is>
          <t>Faltan (días)</t>
        </is>
      </c>
      <c r="H19" s="14" t="inlineStr">
        <is>
          <t>Estado</t>
        </is>
      </c>
    </row>
    <row r="20">
      <c r="B20" s="18">
        <f>IF($J20="","",INDEX(Eventos!$B$8:$B$47,MATCH($J20,Eventos!$N$8:$N$47,0)))</f>
        <v/>
      </c>
      <c r="C20" s="21">
        <f>IF($J20="","",INDEX(Eventos!$C$8:$C$47,MATCH($J20,Eventos!$N$8:$N$47,0)))</f>
        <v/>
      </c>
      <c r="D20" s="19">
        <f>IF($J20="","",INDEX(Eventos!$D$8:$D$47,MATCH($J20,Eventos!$N$8:$N$47,0)))</f>
        <v/>
      </c>
      <c r="E20" s="19">
        <f>IF($J20="","",INDEX(Eventos!$M$8:$M$47,MATCH($J20,Eventos!$N$8:$N$47,0)))</f>
        <v/>
      </c>
      <c r="F20" s="21">
        <f>IF($J20="","",INDEX(Eventos!$F$8:$F$47,MATCH($J20,Eventos!$N$8:$N$47,0)))</f>
        <v/>
      </c>
      <c r="G20" s="22">
        <f>IF($J20="","",INDEX(Eventos!$K$8:$K$47,MATCH($J20,Eventos!$N$8:$N$47,0)))</f>
        <v/>
      </c>
      <c r="H20" s="21">
        <f>IF($J20="","",INDEX(Eventos!$L$8:$L$47,MATCH($J20,Eventos!$N$8:$N$47,0)))</f>
        <v/>
      </c>
      <c r="J20" s="23">
        <f>IFERROR(SMALL(Eventos!$N$8:$N$47,1),"")</f>
        <v/>
      </c>
    </row>
    <row r="21">
      <c r="B21" s="18">
        <f>IF($J21="","",INDEX(Eventos!$B$8:$B$47,MATCH($J21,Eventos!$N$8:$N$47,0)))</f>
        <v/>
      </c>
      <c r="C21" s="21">
        <f>IF($J21="","",INDEX(Eventos!$C$8:$C$47,MATCH($J21,Eventos!$N$8:$N$47,0)))</f>
        <v/>
      </c>
      <c r="D21" s="19">
        <f>IF($J21="","",INDEX(Eventos!$D$8:$D$47,MATCH($J21,Eventos!$N$8:$N$47,0)))</f>
        <v/>
      </c>
      <c r="E21" s="19">
        <f>IF($J21="","",INDEX(Eventos!$M$8:$M$47,MATCH($J21,Eventos!$N$8:$N$47,0)))</f>
        <v/>
      </c>
      <c r="F21" s="21">
        <f>IF($J21="","",INDEX(Eventos!$F$8:$F$47,MATCH($J21,Eventos!$N$8:$N$47,0)))</f>
        <v/>
      </c>
      <c r="G21" s="22">
        <f>IF($J21="","",INDEX(Eventos!$K$8:$K$47,MATCH($J21,Eventos!$N$8:$N$47,0)))</f>
        <v/>
      </c>
      <c r="H21" s="21">
        <f>IF($J21="","",INDEX(Eventos!$L$8:$L$47,MATCH($J21,Eventos!$N$8:$N$47,0)))</f>
        <v/>
      </c>
      <c r="J21" s="23">
        <f>IFERROR(SMALL(Eventos!$N$8:$N$47,2),"")</f>
        <v/>
      </c>
    </row>
    <row r="22">
      <c r="B22" s="18">
        <f>IF($J22="","",INDEX(Eventos!$B$8:$B$47,MATCH($J22,Eventos!$N$8:$N$47,0)))</f>
        <v/>
      </c>
      <c r="C22" s="21">
        <f>IF($J22="","",INDEX(Eventos!$C$8:$C$47,MATCH($J22,Eventos!$N$8:$N$47,0)))</f>
        <v/>
      </c>
      <c r="D22" s="19">
        <f>IF($J22="","",INDEX(Eventos!$D$8:$D$47,MATCH($J22,Eventos!$N$8:$N$47,0)))</f>
        <v/>
      </c>
      <c r="E22" s="19">
        <f>IF($J22="","",INDEX(Eventos!$M$8:$M$47,MATCH($J22,Eventos!$N$8:$N$47,0)))</f>
        <v/>
      </c>
      <c r="F22" s="21">
        <f>IF($J22="","",INDEX(Eventos!$F$8:$F$47,MATCH($J22,Eventos!$N$8:$N$47,0)))</f>
        <v/>
      </c>
      <c r="G22" s="22">
        <f>IF($J22="","",INDEX(Eventos!$K$8:$K$47,MATCH($J22,Eventos!$N$8:$N$47,0)))</f>
        <v/>
      </c>
      <c r="H22" s="21">
        <f>IF($J22="","",INDEX(Eventos!$L$8:$L$47,MATCH($J22,Eventos!$N$8:$N$47,0)))</f>
        <v/>
      </c>
      <c r="J22" s="23">
        <f>IFERROR(SMALL(Eventos!$N$8:$N$47,3),"")</f>
        <v/>
      </c>
    </row>
    <row r="23">
      <c r="B23" s="18">
        <f>IF($J23="","",INDEX(Eventos!$B$8:$B$47,MATCH($J23,Eventos!$N$8:$N$47,0)))</f>
        <v/>
      </c>
      <c r="C23" s="21">
        <f>IF($J23="","",INDEX(Eventos!$C$8:$C$47,MATCH($J23,Eventos!$N$8:$N$47,0)))</f>
        <v/>
      </c>
      <c r="D23" s="19">
        <f>IF($J23="","",INDEX(Eventos!$D$8:$D$47,MATCH($J23,Eventos!$N$8:$N$47,0)))</f>
        <v/>
      </c>
      <c r="E23" s="19">
        <f>IF($J23="","",INDEX(Eventos!$M$8:$M$47,MATCH($J23,Eventos!$N$8:$N$47,0)))</f>
        <v/>
      </c>
      <c r="F23" s="21">
        <f>IF($J23="","",INDEX(Eventos!$F$8:$F$47,MATCH($J23,Eventos!$N$8:$N$47,0)))</f>
        <v/>
      </c>
      <c r="G23" s="22">
        <f>IF($J23="","",INDEX(Eventos!$K$8:$K$47,MATCH($J23,Eventos!$N$8:$N$47,0)))</f>
        <v/>
      </c>
      <c r="H23" s="21">
        <f>IF($J23="","",INDEX(Eventos!$L$8:$L$47,MATCH($J23,Eventos!$N$8:$N$47,0)))</f>
        <v/>
      </c>
      <c r="J23" s="23">
        <f>IFERROR(SMALL(Eventos!$N$8:$N$47,4),"")</f>
        <v/>
      </c>
    </row>
    <row r="24">
      <c r="B24" s="18">
        <f>IF($J24="","",INDEX(Eventos!$B$8:$B$47,MATCH($J24,Eventos!$N$8:$N$47,0)))</f>
        <v/>
      </c>
      <c r="C24" s="21">
        <f>IF($J24="","",INDEX(Eventos!$C$8:$C$47,MATCH($J24,Eventos!$N$8:$N$47,0)))</f>
        <v/>
      </c>
      <c r="D24" s="19">
        <f>IF($J24="","",INDEX(Eventos!$D$8:$D$47,MATCH($J24,Eventos!$N$8:$N$47,0)))</f>
        <v/>
      </c>
      <c r="E24" s="19">
        <f>IF($J24="","",INDEX(Eventos!$M$8:$M$47,MATCH($J24,Eventos!$N$8:$N$47,0)))</f>
        <v/>
      </c>
      <c r="F24" s="21">
        <f>IF($J24="","",INDEX(Eventos!$F$8:$F$47,MATCH($J24,Eventos!$N$8:$N$47,0)))</f>
        <v/>
      </c>
      <c r="G24" s="22">
        <f>IF($J24="","",INDEX(Eventos!$K$8:$K$47,MATCH($J24,Eventos!$N$8:$N$47,0)))</f>
        <v/>
      </c>
      <c r="H24" s="21">
        <f>IF($J24="","",INDEX(Eventos!$L$8:$L$47,MATCH($J24,Eventos!$N$8:$N$47,0)))</f>
        <v/>
      </c>
      <c r="J24" s="23">
        <f>IFERROR(SMALL(Eventos!$N$8:$N$47,5),"")</f>
        <v/>
      </c>
    </row>
    <row r="25">
      <c r="B25" s="18">
        <f>IF($J25="","",INDEX(Eventos!$B$8:$B$47,MATCH($J25,Eventos!$N$8:$N$47,0)))</f>
        <v/>
      </c>
      <c r="C25" s="21">
        <f>IF($J25="","",INDEX(Eventos!$C$8:$C$47,MATCH($J25,Eventos!$N$8:$N$47,0)))</f>
        <v/>
      </c>
      <c r="D25" s="19">
        <f>IF($J25="","",INDEX(Eventos!$D$8:$D$47,MATCH($J25,Eventos!$N$8:$N$47,0)))</f>
        <v/>
      </c>
      <c r="E25" s="19">
        <f>IF($J25="","",INDEX(Eventos!$M$8:$M$47,MATCH($J25,Eventos!$N$8:$N$47,0)))</f>
        <v/>
      </c>
      <c r="F25" s="21">
        <f>IF($J25="","",INDEX(Eventos!$F$8:$F$47,MATCH($J25,Eventos!$N$8:$N$47,0)))</f>
        <v/>
      </c>
      <c r="G25" s="22">
        <f>IF($J25="","",INDEX(Eventos!$K$8:$K$47,MATCH($J25,Eventos!$N$8:$N$47,0)))</f>
        <v/>
      </c>
      <c r="H25" s="21">
        <f>IF($J25="","",INDEX(Eventos!$L$8:$L$47,MATCH($J25,Eventos!$N$8:$N$47,0)))</f>
        <v/>
      </c>
      <c r="J25" s="23">
        <f>IFERROR(SMALL(Eventos!$N$8:$N$47,6),"")</f>
        <v/>
      </c>
    </row>
    <row r="26">
      <c r="B26" s="18">
        <f>IF($J26="","",INDEX(Eventos!$B$8:$B$47,MATCH($J26,Eventos!$N$8:$N$47,0)))</f>
        <v/>
      </c>
      <c r="C26" s="21">
        <f>IF($J26="","",INDEX(Eventos!$C$8:$C$47,MATCH($J26,Eventos!$N$8:$N$47,0)))</f>
        <v/>
      </c>
      <c r="D26" s="19">
        <f>IF($J26="","",INDEX(Eventos!$D$8:$D$47,MATCH($J26,Eventos!$N$8:$N$47,0)))</f>
        <v/>
      </c>
      <c r="E26" s="19">
        <f>IF($J26="","",INDEX(Eventos!$M$8:$M$47,MATCH($J26,Eventos!$N$8:$N$47,0)))</f>
        <v/>
      </c>
      <c r="F26" s="21">
        <f>IF($J26="","",INDEX(Eventos!$F$8:$F$47,MATCH($J26,Eventos!$N$8:$N$47,0)))</f>
        <v/>
      </c>
      <c r="G26" s="22">
        <f>IF($J26="","",INDEX(Eventos!$K$8:$K$47,MATCH($J26,Eventos!$N$8:$N$47,0)))</f>
        <v/>
      </c>
      <c r="H26" s="21">
        <f>IF($J26="","",INDEX(Eventos!$L$8:$L$47,MATCH($J26,Eventos!$N$8:$N$47,0)))</f>
        <v/>
      </c>
      <c r="J26" s="23">
        <f>IFERROR(SMALL(Eventos!$N$8:$N$47,7),"")</f>
        <v/>
      </c>
    </row>
    <row r="27">
      <c r="B27" s="18">
        <f>IF($J27="","",INDEX(Eventos!$B$8:$B$47,MATCH($J27,Eventos!$N$8:$N$47,0)))</f>
        <v/>
      </c>
      <c r="C27" s="21">
        <f>IF($J27="","",INDEX(Eventos!$C$8:$C$47,MATCH($J27,Eventos!$N$8:$N$47,0)))</f>
        <v/>
      </c>
      <c r="D27" s="19">
        <f>IF($J27="","",INDEX(Eventos!$D$8:$D$47,MATCH($J27,Eventos!$N$8:$N$47,0)))</f>
        <v/>
      </c>
      <c r="E27" s="19">
        <f>IF($J27="","",INDEX(Eventos!$M$8:$M$47,MATCH($J27,Eventos!$N$8:$N$47,0)))</f>
        <v/>
      </c>
      <c r="F27" s="21">
        <f>IF($J27="","",INDEX(Eventos!$F$8:$F$47,MATCH($J27,Eventos!$N$8:$N$47,0)))</f>
        <v/>
      </c>
      <c r="G27" s="22">
        <f>IF($J27="","",INDEX(Eventos!$K$8:$K$47,MATCH($J27,Eventos!$N$8:$N$47,0)))</f>
        <v/>
      </c>
      <c r="H27" s="21">
        <f>IF($J27="","",INDEX(Eventos!$L$8:$L$47,MATCH($J27,Eventos!$N$8:$N$47,0)))</f>
        <v/>
      </c>
      <c r="J27" s="23">
        <f>IFERROR(SMALL(Eventos!$N$8:$N$47,8),"")</f>
        <v/>
      </c>
    </row>
    <row r="29">
      <c r="B29" s="13" t="inlineStr">
        <is>
          <t>DÍAS LECTIVOS POR MES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3">
    <mergeCell ref="C16:E16"/>
    <mergeCell ref="C14:E14"/>
    <mergeCell ref="G9:H9"/>
    <mergeCell ref="C13:E13"/>
    <mergeCell ref="C15:E15"/>
    <mergeCell ref="B2:H2"/>
    <mergeCell ref="C9:D9"/>
    <mergeCell ref="G8:H8"/>
    <mergeCell ref="B3:H3"/>
    <mergeCell ref="E9:F9"/>
    <mergeCell ref="C12:E12"/>
    <mergeCell ref="E8:F8"/>
    <mergeCell ref="C8:D8"/>
  </mergeCells>
  <conditionalFormatting sqref="B20:H27">
    <cfRule type="expression" priority="1" dxfId="0">
      <formula>$H20="En curso"</formula>
    </cfRule>
    <cfRule type="expression" priority="2" dxfId="1">
      <formula>$H20="Próximo"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9" customWidth="1" min="3" max="3"/>
    <col width="13" customWidth="1" min="4" max="4"/>
    <col width="13" customWidth="1" min="5" max="5"/>
    <col width="18" customWidth="1" min="6" max="6"/>
    <col width="9" customWidth="1" min="7" max="7"/>
    <col width="7" customWidth="1" min="8" max="8"/>
    <col width="10" customWidth="1" min="9" max="9"/>
    <col width="12" customWidth="1" min="10" max="10"/>
    <col width="10" customWidth="1" min="11" max="11"/>
    <col width="12" customWidth="1" min="12" max="12"/>
    <col hidden="1" width="12" customWidth="1" min="13" max="13"/>
    <col hidden="1" width="12" customWidth="1" min="14" max="14"/>
    <col hidden="1" width="12" customWidth="1" min="15" max="15"/>
    <col hidden="1" width="12" customWidth="1" min="16" max="16"/>
  </cols>
  <sheetData>
    <row r="2" ht="34" customHeight="1">
      <c r="B2" s="1" t="inlineStr">
        <is>
          <t>Calendario de eventos del curso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Festivos, vacaciones, evaluaciones, entregas de notas, excursiones y reuniones. Rellena las celdas crema (hasta 40 eventos).</t>
        </is>
      </c>
    </row>
    <row r="5">
      <c r="B5" s="24" t="inlineStr">
        <is>
          <t>Los tipos «Festivo», «Vacaciones» y «Día sin clase» restan días lectivos; el resto de tipos no.</t>
        </is>
      </c>
    </row>
    <row r="7" ht="34" customHeight="1">
      <c r="B7" s="14" t="inlineStr">
        <is>
          <t>Evento</t>
        </is>
      </c>
      <c r="C7" s="14" t="inlineStr">
        <is>
          <t>Tipo</t>
        </is>
      </c>
      <c r="D7" s="14" t="inlineStr">
        <is>
          <t>Desde</t>
        </is>
      </c>
      <c r="E7" s="14" t="inlineStr">
        <is>
          <t>Hasta (opcional)</t>
        </is>
      </c>
      <c r="F7" s="14" t="inlineStr">
        <is>
          <t>Afecta a</t>
        </is>
      </c>
      <c r="G7" s="14" t="inlineStr">
        <is>
          <t>Días naturales</t>
        </is>
      </c>
      <c r="H7" s="14" t="inlineStr">
        <is>
          <t>Día</t>
        </is>
      </c>
      <c r="I7" s="14" t="inlineStr">
        <is>
          <t>¿Sin clase?</t>
        </is>
      </c>
      <c r="J7" s="14" t="inlineStr">
        <is>
          <t>Días lectivos que resta</t>
        </is>
      </c>
      <c r="K7" s="14" t="inlineStr">
        <is>
          <t>Faltan (días)</t>
        </is>
      </c>
      <c r="L7" s="14" t="inlineStr">
        <is>
          <t>Estado</t>
        </is>
      </c>
      <c r="M7" s="25" t="inlineStr">
        <is>
          <t>Fin efectivo (aux.)</t>
        </is>
      </c>
      <c r="N7" s="25" t="inlineStr">
        <is>
          <t>Clave (aux.)</t>
        </is>
      </c>
      <c r="O7" s="25" t="inlineStr">
        <is>
          <t>Clave eval. (aux.)</t>
        </is>
      </c>
      <c r="P7" s="25" t="inlineStr">
        <is>
          <t>Clave sin clase (aux.)</t>
        </is>
      </c>
    </row>
    <row r="8">
      <c r="B8" s="26" t="inlineStr">
        <is>
          <t>Inicio de clases</t>
        </is>
      </c>
      <c r="C8" s="5" t="inlineStr">
        <is>
          <t>Evento del centro</t>
        </is>
      </c>
      <c r="D8" s="6" t="n">
        <v>46273</v>
      </c>
      <c r="E8" s="6" t="n"/>
      <c r="F8" s="5" t="inlineStr">
        <is>
          <t>Todo el centro</t>
        </is>
      </c>
      <c r="G8" s="22">
        <f>IF(D8="","",M8-D8+1)</f>
        <v/>
      </c>
      <c r="H8" s="21">
        <f>IF(D8="","",MID("LunMarMiéJueVieSábDom",(WEEKDAY(D8,2)-1)*3+1,3))</f>
        <v/>
      </c>
      <c r="I8" s="21">
        <f>IF(OR(D8="",C8=""),"",IF(IFERROR(VLOOKUP(C8,Listas!$A$2:$B$9,2,0),0)=1,"Sí","No"))</f>
        <v/>
      </c>
      <c r="J8" s="22">
        <f>IF(I8="Sí",COUNTIFS(Días!$B$8:$B$317,"&gt;="&amp;D8,Días!$B$8:$B$317,"&lt;="&amp;M8,Días!$D$8:$D$317,1),IF(I8="","",0))</f>
        <v/>
      </c>
      <c r="K8" s="22">
        <f>IF(D8="","",IF(M8&lt;Panel!$E$6,"",MAX(0,D8-Panel!$E$6)))</f>
        <v/>
      </c>
      <c r="L8" s="21">
        <f>IF(D8="","",IF(M8&lt;Panel!$E$6,"Pasado",IF(D8&lt;=Panel!$E$6,"En curso",IF(D8-Panel!$E$6&lt;=Panel!$G$6,"Próximo","Pendiente"))))</f>
        <v/>
      </c>
      <c r="M8" s="27">
        <f>IF(D8="","",IF(E8="",D8,MAX(D8,E8)))</f>
        <v/>
      </c>
      <c r="N8" s="28">
        <f>IF(D8="","",IF(M8&lt;Panel!$E$6,"",D8+ROW()/100000))</f>
        <v/>
      </c>
      <c r="O8" s="28">
        <f>IF(AND(N8&lt;&gt;"",C8="Evaluación"),N8,"")</f>
        <v/>
      </c>
      <c r="P8" s="28">
        <f>IF(AND(N8&lt;&gt;"",I8="Sí"),N8,"")</f>
        <v/>
      </c>
    </row>
    <row r="9">
      <c r="B9" s="26" t="inlineStr">
        <is>
          <t>Fiesta Nacional</t>
        </is>
      </c>
      <c r="C9" s="5" t="inlineStr">
        <is>
          <t>Festivo</t>
        </is>
      </c>
      <c r="D9" s="6" t="n">
        <v>46307</v>
      </c>
      <c r="E9" s="6" t="n"/>
      <c r="F9" s="5" t="inlineStr">
        <is>
          <t>Todo el centro</t>
        </is>
      </c>
      <c r="G9" s="22">
        <f>IF(D9="","",M9-D9+1)</f>
        <v/>
      </c>
      <c r="H9" s="21">
        <f>IF(D9="","",MID("LunMarMiéJueVieSábDom",(WEEKDAY(D9,2)-1)*3+1,3))</f>
        <v/>
      </c>
      <c r="I9" s="21">
        <f>IF(OR(D9="",C9=""),"",IF(IFERROR(VLOOKUP(C9,Listas!$A$2:$B$9,2,0),0)=1,"Sí","No"))</f>
        <v/>
      </c>
      <c r="J9" s="22">
        <f>IF(I9="Sí",COUNTIFS(Días!$B$8:$B$317,"&gt;="&amp;D9,Días!$B$8:$B$317,"&lt;="&amp;M9,Días!$D$8:$D$317,1),IF(I9="","",0))</f>
        <v/>
      </c>
      <c r="K9" s="22">
        <f>IF(D9="","",IF(M9&lt;Panel!$E$6,"",MAX(0,D9-Panel!$E$6)))</f>
        <v/>
      </c>
      <c r="L9" s="21">
        <f>IF(D9="","",IF(M9&lt;Panel!$E$6,"Pasado",IF(D9&lt;=Panel!$E$6,"En curso",IF(D9-Panel!$E$6&lt;=Panel!$G$6,"Próximo","Pendiente"))))</f>
        <v/>
      </c>
      <c r="M9" s="27">
        <f>IF(D9="","",IF(E9="",D9,MAX(D9,E9)))</f>
        <v/>
      </c>
      <c r="N9" s="28">
        <f>IF(D9="","",IF(M9&lt;Panel!$E$6,"",D9+ROW()/100000))</f>
        <v/>
      </c>
      <c r="O9" s="28">
        <f>IF(AND(N9&lt;&gt;"",C9="Evaluación"),N9,"")</f>
        <v/>
      </c>
      <c r="P9" s="28">
        <f>IF(AND(N9&lt;&gt;"",I9="Sí"),N9,"")</f>
        <v/>
      </c>
    </row>
    <row r="10">
      <c r="B10" s="26" t="inlineStr">
        <is>
          <t>Reunión inicial con las familias</t>
        </is>
      </c>
      <c r="C10" s="5" t="inlineStr">
        <is>
          <t>Reunión de familias</t>
        </is>
      </c>
      <c r="D10" s="6" t="n">
        <v>46316</v>
      </c>
      <c r="E10" s="6" t="n"/>
      <c r="F10" s="5" t="inlineStr">
        <is>
          <t>Tutorías</t>
        </is>
      </c>
      <c r="G10" s="22">
        <f>IF(D10="","",M10-D10+1)</f>
        <v/>
      </c>
      <c r="H10" s="21">
        <f>IF(D10="","",MID("LunMarMiéJueVieSábDom",(WEEKDAY(D10,2)-1)*3+1,3))</f>
        <v/>
      </c>
      <c r="I10" s="21">
        <f>IF(OR(D10="",C10=""),"",IF(IFERROR(VLOOKUP(C10,Listas!$A$2:$B$9,2,0),0)=1,"Sí","No"))</f>
        <v/>
      </c>
      <c r="J10" s="22">
        <f>IF(I10="Sí",COUNTIFS(Días!$B$8:$B$317,"&gt;="&amp;D10,Días!$B$8:$B$317,"&lt;="&amp;M10,Días!$D$8:$D$317,1),IF(I10="","",0))</f>
        <v/>
      </c>
      <c r="K10" s="22">
        <f>IF(D10="","",IF(M10&lt;Panel!$E$6,"",MAX(0,D10-Panel!$E$6)))</f>
        <v/>
      </c>
      <c r="L10" s="21">
        <f>IF(D10="","",IF(M10&lt;Panel!$E$6,"Pasado",IF(D10&lt;=Panel!$E$6,"En curso",IF(D10-Panel!$E$6&lt;=Panel!$G$6,"Próximo","Pendiente"))))</f>
        <v/>
      </c>
      <c r="M10" s="27">
        <f>IF(D10="","",IF(E10="",D10,MAX(D10,E10)))</f>
        <v/>
      </c>
      <c r="N10" s="28">
        <f>IF(D10="","",IF(M10&lt;Panel!$E$6,"",D10+ROW()/100000))</f>
        <v/>
      </c>
      <c r="O10" s="28">
        <f>IF(AND(N10&lt;&gt;"",C10="Evaluación"),N10,"")</f>
        <v/>
      </c>
      <c r="P10" s="28">
        <f>IF(AND(N10&lt;&gt;"",I10="Sí"),N10,"")</f>
        <v/>
      </c>
    </row>
    <row r="11">
      <c r="B11" s="26" t="inlineStr">
        <is>
          <t>Día de libre disposición</t>
        </is>
      </c>
      <c r="C11" s="5" t="inlineStr">
        <is>
          <t>Día sin clase</t>
        </is>
      </c>
      <c r="D11" s="6" t="n">
        <v>46328</v>
      </c>
      <c r="E11" s="6" t="n"/>
      <c r="F11" s="5" t="inlineStr">
        <is>
          <t>Todo el centro</t>
        </is>
      </c>
      <c r="G11" s="22">
        <f>IF(D11="","",M11-D11+1)</f>
        <v/>
      </c>
      <c r="H11" s="21">
        <f>IF(D11="","",MID("LunMarMiéJueVieSábDom",(WEEKDAY(D11,2)-1)*3+1,3))</f>
        <v/>
      </c>
      <c r="I11" s="21">
        <f>IF(OR(D11="",C11=""),"",IF(IFERROR(VLOOKUP(C11,Listas!$A$2:$B$9,2,0),0)=1,"Sí","No"))</f>
        <v/>
      </c>
      <c r="J11" s="22">
        <f>IF(I11="Sí",COUNTIFS(Días!$B$8:$B$317,"&gt;="&amp;D11,Días!$B$8:$B$317,"&lt;="&amp;M11,Días!$D$8:$D$317,1),IF(I11="","",0))</f>
        <v/>
      </c>
      <c r="K11" s="22">
        <f>IF(D11="","",IF(M11&lt;Panel!$E$6,"",MAX(0,D11-Panel!$E$6)))</f>
        <v/>
      </c>
      <c r="L11" s="21">
        <f>IF(D11="","",IF(M11&lt;Panel!$E$6,"Pasado",IF(D11&lt;=Panel!$E$6,"En curso",IF(D11-Panel!$E$6&lt;=Panel!$G$6,"Próximo","Pendiente"))))</f>
        <v/>
      </c>
      <c r="M11" s="27">
        <f>IF(D11="","",IF(E11="",D11,MAX(D11,E11)))</f>
        <v/>
      </c>
      <c r="N11" s="28">
        <f>IF(D11="","",IF(M11&lt;Panel!$E$6,"",D11+ROW()/100000))</f>
        <v/>
      </c>
      <c r="O11" s="28">
        <f>IF(AND(N11&lt;&gt;"",C11="Evaluación"),N11,"")</f>
        <v/>
      </c>
      <c r="P11" s="28">
        <f>IF(AND(N11&lt;&gt;"",I11="Sí"),N11,"")</f>
        <v/>
      </c>
    </row>
    <row r="12">
      <c r="B12" s="26" t="inlineStr">
        <is>
          <t>Visita al Museo de Ciencias</t>
        </is>
      </c>
      <c r="C12" s="5" t="inlineStr">
        <is>
          <t>Excursión</t>
        </is>
      </c>
      <c r="D12" s="6" t="n">
        <v>46353</v>
      </c>
      <c r="E12" s="6" t="n"/>
      <c r="F12" s="5" t="inlineStr">
        <is>
          <t>2.º ESO</t>
        </is>
      </c>
      <c r="G12" s="22">
        <f>IF(D12="","",M12-D12+1)</f>
        <v/>
      </c>
      <c r="H12" s="21">
        <f>IF(D12="","",MID("LunMarMiéJueVieSábDom",(WEEKDAY(D12,2)-1)*3+1,3))</f>
        <v/>
      </c>
      <c r="I12" s="21">
        <f>IF(OR(D12="",C12=""),"",IF(IFERROR(VLOOKUP(C12,Listas!$A$2:$B$9,2,0),0)=1,"Sí","No"))</f>
        <v/>
      </c>
      <c r="J12" s="22">
        <f>IF(I12="Sí",COUNTIFS(Días!$B$8:$B$317,"&gt;="&amp;D12,Días!$B$8:$B$317,"&lt;="&amp;M12,Días!$D$8:$D$317,1),IF(I12="","",0))</f>
        <v/>
      </c>
      <c r="K12" s="22">
        <f>IF(D12="","",IF(M12&lt;Panel!$E$6,"",MAX(0,D12-Panel!$E$6)))</f>
        <v/>
      </c>
      <c r="L12" s="21">
        <f>IF(D12="","",IF(M12&lt;Panel!$E$6,"Pasado",IF(D12&lt;=Panel!$E$6,"En curso",IF(D12-Panel!$E$6&lt;=Panel!$G$6,"Próximo","Pendiente"))))</f>
        <v/>
      </c>
      <c r="M12" s="27">
        <f>IF(D12="","",IF(E12="",D12,MAX(D12,E12)))</f>
        <v/>
      </c>
      <c r="N12" s="28">
        <f>IF(D12="","",IF(M12&lt;Panel!$E$6,"",D12+ROW()/100000))</f>
        <v/>
      </c>
      <c r="O12" s="28">
        <f>IF(AND(N12&lt;&gt;"",C12="Evaluación"),N12,"")</f>
        <v/>
      </c>
      <c r="P12" s="28">
        <f>IF(AND(N12&lt;&gt;"",I12="Sí"),N12,"")</f>
        <v/>
      </c>
    </row>
    <row r="13">
      <c r="B13" s="26" t="inlineStr">
        <is>
          <t>Puente de la Constitución y la Inmaculada</t>
        </is>
      </c>
      <c r="C13" s="5" t="inlineStr">
        <is>
          <t>Festivo</t>
        </is>
      </c>
      <c r="D13" s="6" t="n">
        <v>46363</v>
      </c>
      <c r="E13" s="6" t="n">
        <v>46364</v>
      </c>
      <c r="F13" s="5" t="inlineStr">
        <is>
          <t>Todo el centro</t>
        </is>
      </c>
      <c r="G13" s="22">
        <f>IF(D13="","",M13-D13+1)</f>
        <v/>
      </c>
      <c r="H13" s="21">
        <f>IF(D13="","",MID("LunMarMiéJueVieSábDom",(WEEKDAY(D13,2)-1)*3+1,3))</f>
        <v/>
      </c>
      <c r="I13" s="21">
        <f>IF(OR(D13="",C13=""),"",IF(IFERROR(VLOOKUP(C13,Listas!$A$2:$B$9,2,0),0)=1,"Sí","No"))</f>
        <v/>
      </c>
      <c r="J13" s="22">
        <f>IF(I13="Sí",COUNTIFS(Días!$B$8:$B$317,"&gt;="&amp;D13,Días!$B$8:$B$317,"&lt;="&amp;M13,Días!$D$8:$D$317,1),IF(I13="","",0))</f>
        <v/>
      </c>
      <c r="K13" s="22">
        <f>IF(D13="","",IF(M13&lt;Panel!$E$6,"",MAX(0,D13-Panel!$E$6)))</f>
        <v/>
      </c>
      <c r="L13" s="21">
        <f>IF(D13="","",IF(M13&lt;Panel!$E$6,"Pasado",IF(D13&lt;=Panel!$E$6,"En curso",IF(D13-Panel!$E$6&lt;=Panel!$G$6,"Próximo","Pendiente"))))</f>
        <v/>
      </c>
      <c r="M13" s="27">
        <f>IF(D13="","",IF(E13="",D13,MAX(D13,E13)))</f>
        <v/>
      </c>
      <c r="N13" s="28">
        <f>IF(D13="","",IF(M13&lt;Panel!$E$6,"",D13+ROW()/100000))</f>
        <v/>
      </c>
      <c r="O13" s="28">
        <f>IF(AND(N13&lt;&gt;"",C13="Evaluación"),N13,"")</f>
        <v/>
      </c>
      <c r="P13" s="28">
        <f>IF(AND(N13&lt;&gt;"",I13="Sí"),N13,"")</f>
        <v/>
      </c>
    </row>
    <row r="14">
      <c r="B14" s="26" t="inlineStr">
        <is>
          <t>Exámenes de la 1.ª evaluación</t>
        </is>
      </c>
      <c r="C14" s="5" t="inlineStr">
        <is>
          <t>Evaluación</t>
        </is>
      </c>
      <c r="D14" s="6" t="n">
        <v>46370</v>
      </c>
      <c r="E14" s="6" t="n">
        <v>46374</v>
      </c>
      <c r="F14" s="5" t="inlineStr">
        <is>
          <t>ESO y Bachillerato</t>
        </is>
      </c>
      <c r="G14" s="22">
        <f>IF(D14="","",M14-D14+1)</f>
        <v/>
      </c>
      <c r="H14" s="21">
        <f>IF(D14="","",MID("LunMarMiéJueVieSábDom",(WEEKDAY(D14,2)-1)*3+1,3))</f>
        <v/>
      </c>
      <c r="I14" s="21">
        <f>IF(OR(D14="",C14=""),"",IF(IFERROR(VLOOKUP(C14,Listas!$A$2:$B$9,2,0),0)=1,"Sí","No"))</f>
        <v/>
      </c>
      <c r="J14" s="22">
        <f>IF(I14="Sí",COUNTIFS(Días!$B$8:$B$317,"&gt;="&amp;D14,Días!$B$8:$B$317,"&lt;="&amp;M14,Días!$D$8:$D$317,1),IF(I14="","",0))</f>
        <v/>
      </c>
      <c r="K14" s="22">
        <f>IF(D14="","",IF(M14&lt;Panel!$E$6,"",MAX(0,D14-Panel!$E$6)))</f>
        <v/>
      </c>
      <c r="L14" s="21">
        <f>IF(D14="","",IF(M14&lt;Panel!$E$6,"Pasado",IF(D14&lt;=Panel!$E$6,"En curso",IF(D14-Panel!$E$6&lt;=Panel!$G$6,"Próximo","Pendiente"))))</f>
        <v/>
      </c>
      <c r="M14" s="27">
        <f>IF(D14="","",IF(E14="",D14,MAX(D14,E14)))</f>
        <v/>
      </c>
      <c r="N14" s="28">
        <f>IF(D14="","",IF(M14&lt;Panel!$E$6,"",D14+ROW()/100000))</f>
        <v/>
      </c>
      <c r="O14" s="28">
        <f>IF(AND(N14&lt;&gt;"",C14="Evaluación"),N14,"")</f>
        <v/>
      </c>
      <c r="P14" s="28">
        <f>IF(AND(N14&lt;&gt;"",I14="Sí"),N14,"")</f>
        <v/>
      </c>
    </row>
    <row r="15">
      <c r="B15" s="26" t="inlineStr">
        <is>
          <t>Entrega de notas 1.ª evaluación</t>
        </is>
      </c>
      <c r="C15" s="5" t="inlineStr">
        <is>
          <t>Entrega de notas</t>
        </is>
      </c>
      <c r="D15" s="6" t="n">
        <v>46377</v>
      </c>
      <c r="E15" s="6" t="n"/>
      <c r="F15" s="5" t="inlineStr">
        <is>
          <t>Familias</t>
        </is>
      </c>
      <c r="G15" s="22">
        <f>IF(D15="","",M15-D15+1)</f>
        <v/>
      </c>
      <c r="H15" s="21">
        <f>IF(D15="","",MID("LunMarMiéJueVieSábDom",(WEEKDAY(D15,2)-1)*3+1,3))</f>
        <v/>
      </c>
      <c r="I15" s="21">
        <f>IF(OR(D15="",C15=""),"",IF(IFERROR(VLOOKUP(C15,Listas!$A$2:$B$9,2,0),0)=1,"Sí","No"))</f>
        <v/>
      </c>
      <c r="J15" s="22">
        <f>IF(I15="Sí",COUNTIFS(Días!$B$8:$B$317,"&gt;="&amp;D15,Días!$B$8:$B$317,"&lt;="&amp;M15,Días!$D$8:$D$317,1),IF(I15="","",0))</f>
        <v/>
      </c>
      <c r="K15" s="22">
        <f>IF(D15="","",IF(M15&lt;Panel!$E$6,"",MAX(0,D15-Panel!$E$6)))</f>
        <v/>
      </c>
      <c r="L15" s="21">
        <f>IF(D15="","",IF(M15&lt;Panel!$E$6,"Pasado",IF(D15&lt;=Panel!$E$6,"En curso",IF(D15-Panel!$E$6&lt;=Panel!$G$6,"Próximo","Pendiente"))))</f>
        <v/>
      </c>
      <c r="M15" s="27">
        <f>IF(D15="","",IF(E15="",D15,MAX(D15,E15)))</f>
        <v/>
      </c>
      <c r="N15" s="28">
        <f>IF(D15="","",IF(M15&lt;Panel!$E$6,"",D15+ROW()/100000))</f>
        <v/>
      </c>
      <c r="O15" s="28">
        <f>IF(AND(N15&lt;&gt;"",C15="Evaluación"),N15,"")</f>
        <v/>
      </c>
      <c r="P15" s="28">
        <f>IF(AND(N15&lt;&gt;"",I15="Sí"),N15,"")</f>
        <v/>
      </c>
    </row>
    <row r="16">
      <c r="B16" s="26" t="inlineStr">
        <is>
          <t>Festival de Navidad</t>
        </is>
      </c>
      <c r="C16" s="5" t="inlineStr">
        <is>
          <t>Evento del centro</t>
        </is>
      </c>
      <c r="D16" s="6" t="n">
        <v>46378</v>
      </c>
      <c r="E16" s="6" t="n"/>
      <c r="F16" s="5" t="inlineStr">
        <is>
          <t>Primaria</t>
        </is>
      </c>
      <c r="G16" s="22">
        <f>IF(D16="","",M16-D16+1)</f>
        <v/>
      </c>
      <c r="H16" s="21">
        <f>IF(D16="","",MID("LunMarMiéJueVieSábDom",(WEEKDAY(D16,2)-1)*3+1,3))</f>
        <v/>
      </c>
      <c r="I16" s="21">
        <f>IF(OR(D16="",C16=""),"",IF(IFERROR(VLOOKUP(C16,Listas!$A$2:$B$9,2,0),0)=1,"Sí","No"))</f>
        <v/>
      </c>
      <c r="J16" s="22">
        <f>IF(I16="Sí",COUNTIFS(Días!$B$8:$B$317,"&gt;="&amp;D16,Días!$B$8:$B$317,"&lt;="&amp;M16,Días!$D$8:$D$317,1),IF(I16="","",0))</f>
        <v/>
      </c>
      <c r="K16" s="22">
        <f>IF(D16="","",IF(M16&lt;Panel!$E$6,"",MAX(0,D16-Panel!$E$6)))</f>
        <v/>
      </c>
      <c r="L16" s="21">
        <f>IF(D16="","",IF(M16&lt;Panel!$E$6,"Pasado",IF(D16&lt;=Panel!$E$6,"En curso",IF(D16-Panel!$E$6&lt;=Panel!$G$6,"Próximo","Pendiente"))))</f>
        <v/>
      </c>
      <c r="M16" s="27">
        <f>IF(D16="","",IF(E16="",D16,MAX(D16,E16)))</f>
        <v/>
      </c>
      <c r="N16" s="28">
        <f>IF(D16="","",IF(M16&lt;Panel!$E$6,"",D16+ROW()/100000))</f>
        <v/>
      </c>
      <c r="O16" s="28">
        <f>IF(AND(N16&lt;&gt;"",C16="Evaluación"),N16,"")</f>
        <v/>
      </c>
      <c r="P16" s="28">
        <f>IF(AND(N16&lt;&gt;"",I16="Sí"),N16,"")</f>
        <v/>
      </c>
    </row>
    <row r="17">
      <c r="B17" s="26" t="inlineStr">
        <is>
          <t>Vacaciones de Navidad</t>
        </is>
      </c>
      <c r="C17" s="5" t="inlineStr">
        <is>
          <t>Vacaciones</t>
        </is>
      </c>
      <c r="D17" s="6" t="n">
        <v>46379</v>
      </c>
      <c r="E17" s="6" t="n">
        <v>46394</v>
      </c>
      <c r="F17" s="5" t="inlineStr">
        <is>
          <t>Todo el centro</t>
        </is>
      </c>
      <c r="G17" s="22">
        <f>IF(D17="","",M17-D17+1)</f>
        <v/>
      </c>
      <c r="H17" s="21">
        <f>IF(D17="","",MID("LunMarMiéJueVieSábDom",(WEEKDAY(D17,2)-1)*3+1,3))</f>
        <v/>
      </c>
      <c r="I17" s="21">
        <f>IF(OR(D17="",C17=""),"",IF(IFERROR(VLOOKUP(C17,Listas!$A$2:$B$9,2,0),0)=1,"Sí","No"))</f>
        <v/>
      </c>
      <c r="J17" s="22">
        <f>IF(I17="Sí",COUNTIFS(Días!$B$8:$B$317,"&gt;="&amp;D17,Días!$B$8:$B$317,"&lt;="&amp;M17,Días!$D$8:$D$317,1),IF(I17="","",0))</f>
        <v/>
      </c>
      <c r="K17" s="22">
        <f>IF(D17="","",IF(M17&lt;Panel!$E$6,"",MAX(0,D17-Panel!$E$6)))</f>
        <v/>
      </c>
      <c r="L17" s="21">
        <f>IF(D17="","",IF(M17&lt;Panel!$E$6,"Pasado",IF(D17&lt;=Panel!$E$6,"En curso",IF(D17-Panel!$E$6&lt;=Panel!$G$6,"Próximo","Pendiente"))))</f>
        <v/>
      </c>
      <c r="M17" s="27">
        <f>IF(D17="","",IF(E17="",D17,MAX(D17,E17)))</f>
        <v/>
      </c>
      <c r="N17" s="28">
        <f>IF(D17="","",IF(M17&lt;Panel!$E$6,"",D17+ROW()/100000))</f>
        <v/>
      </c>
      <c r="O17" s="28">
        <f>IF(AND(N17&lt;&gt;"",C17="Evaluación"),N17,"")</f>
        <v/>
      </c>
      <c r="P17" s="28">
        <f>IF(AND(N17&lt;&gt;"",I17="Sí"),N17,"")</f>
        <v/>
      </c>
    </row>
    <row r="18">
      <c r="B18" s="26" t="inlineStr">
        <is>
          <t>Exámenes de la 2.ª evaluación</t>
        </is>
      </c>
      <c r="C18" s="5" t="inlineStr">
        <is>
          <t>Evaluación</t>
        </is>
      </c>
      <c r="D18" s="6" t="n">
        <v>46454</v>
      </c>
      <c r="E18" s="6" t="n">
        <v>46458</v>
      </c>
      <c r="F18" s="5" t="inlineStr">
        <is>
          <t>ESO y Bachillerato</t>
        </is>
      </c>
      <c r="G18" s="22">
        <f>IF(D18="","",M18-D18+1)</f>
        <v/>
      </c>
      <c r="H18" s="21">
        <f>IF(D18="","",MID("LunMarMiéJueVieSábDom",(WEEKDAY(D18,2)-1)*3+1,3))</f>
        <v/>
      </c>
      <c r="I18" s="21">
        <f>IF(OR(D18="",C18=""),"",IF(IFERROR(VLOOKUP(C18,Listas!$A$2:$B$9,2,0),0)=1,"Sí","No"))</f>
        <v/>
      </c>
      <c r="J18" s="22">
        <f>IF(I18="Sí",COUNTIFS(Días!$B$8:$B$317,"&gt;="&amp;D18,Días!$B$8:$B$317,"&lt;="&amp;M18,Días!$D$8:$D$317,1),IF(I18="","",0))</f>
        <v/>
      </c>
      <c r="K18" s="22">
        <f>IF(D18="","",IF(M18&lt;Panel!$E$6,"",MAX(0,D18-Panel!$E$6)))</f>
        <v/>
      </c>
      <c r="L18" s="21">
        <f>IF(D18="","",IF(M18&lt;Panel!$E$6,"Pasado",IF(D18&lt;=Panel!$E$6,"En curso",IF(D18-Panel!$E$6&lt;=Panel!$G$6,"Próximo","Pendiente"))))</f>
        <v/>
      </c>
      <c r="M18" s="27">
        <f>IF(D18="","",IF(E18="",D18,MAX(D18,E18)))</f>
        <v/>
      </c>
      <c r="N18" s="28">
        <f>IF(D18="","",IF(M18&lt;Panel!$E$6,"",D18+ROW()/100000))</f>
        <v/>
      </c>
      <c r="O18" s="28">
        <f>IF(AND(N18&lt;&gt;"",C18="Evaluación"),N18,"")</f>
        <v/>
      </c>
      <c r="P18" s="28">
        <f>IF(AND(N18&lt;&gt;"",I18="Sí"),N18,"")</f>
        <v/>
      </c>
    </row>
    <row r="19">
      <c r="B19" s="26" t="inlineStr">
        <is>
          <t>Entrega de notas 2.ª evaluación</t>
        </is>
      </c>
      <c r="C19" s="5" t="inlineStr">
        <is>
          <t>Entrega de notas</t>
        </is>
      </c>
      <c r="D19" s="6" t="n">
        <v>46461</v>
      </c>
      <c r="E19" s="6" t="n"/>
      <c r="F19" s="5" t="inlineStr">
        <is>
          <t>Familias</t>
        </is>
      </c>
      <c r="G19" s="22">
        <f>IF(D19="","",M19-D19+1)</f>
        <v/>
      </c>
      <c r="H19" s="21">
        <f>IF(D19="","",MID("LunMarMiéJueVieSábDom",(WEEKDAY(D19,2)-1)*3+1,3))</f>
        <v/>
      </c>
      <c r="I19" s="21">
        <f>IF(OR(D19="",C19=""),"",IF(IFERROR(VLOOKUP(C19,Listas!$A$2:$B$9,2,0),0)=1,"Sí","No"))</f>
        <v/>
      </c>
      <c r="J19" s="22">
        <f>IF(I19="Sí",COUNTIFS(Días!$B$8:$B$317,"&gt;="&amp;D19,Días!$B$8:$B$317,"&lt;="&amp;M19,Días!$D$8:$D$317,1),IF(I19="","",0))</f>
        <v/>
      </c>
      <c r="K19" s="22">
        <f>IF(D19="","",IF(M19&lt;Panel!$E$6,"",MAX(0,D19-Panel!$E$6)))</f>
        <v/>
      </c>
      <c r="L19" s="21">
        <f>IF(D19="","",IF(M19&lt;Panel!$E$6,"Pasado",IF(D19&lt;=Panel!$E$6,"En curso",IF(D19-Panel!$E$6&lt;=Panel!$G$6,"Próximo","Pendiente"))))</f>
        <v/>
      </c>
      <c r="M19" s="27">
        <f>IF(D19="","",IF(E19="",D19,MAX(D19,E19)))</f>
        <v/>
      </c>
      <c r="N19" s="28">
        <f>IF(D19="","",IF(M19&lt;Panel!$E$6,"",D19+ROW()/100000))</f>
        <v/>
      </c>
      <c r="O19" s="28">
        <f>IF(AND(N19&lt;&gt;"",C19="Evaluación"),N19,"")</f>
        <v/>
      </c>
      <c r="P19" s="28">
        <f>IF(AND(N19&lt;&gt;"",I19="Sí"),N19,"")</f>
        <v/>
      </c>
    </row>
    <row r="20">
      <c r="B20" s="26" t="inlineStr">
        <is>
          <t>Vacaciones de Semana Santa</t>
        </is>
      </c>
      <c r="C20" s="5" t="inlineStr">
        <is>
          <t>Vacaciones</t>
        </is>
      </c>
      <c r="D20" s="6" t="n">
        <v>46468</v>
      </c>
      <c r="E20" s="6" t="n">
        <v>46475</v>
      </c>
      <c r="F20" s="5" t="inlineStr">
        <is>
          <t>Todo el centro</t>
        </is>
      </c>
      <c r="G20" s="22">
        <f>IF(D20="","",M20-D20+1)</f>
        <v/>
      </c>
      <c r="H20" s="21">
        <f>IF(D20="","",MID("LunMarMiéJueVieSábDom",(WEEKDAY(D20,2)-1)*3+1,3))</f>
        <v/>
      </c>
      <c r="I20" s="21">
        <f>IF(OR(D20="",C20=""),"",IF(IFERROR(VLOOKUP(C20,Listas!$A$2:$B$9,2,0),0)=1,"Sí","No"))</f>
        <v/>
      </c>
      <c r="J20" s="22">
        <f>IF(I20="Sí",COUNTIFS(Días!$B$8:$B$317,"&gt;="&amp;D20,Días!$B$8:$B$317,"&lt;="&amp;M20,Días!$D$8:$D$317,1),IF(I20="","",0))</f>
        <v/>
      </c>
      <c r="K20" s="22">
        <f>IF(D20="","",IF(M20&lt;Panel!$E$6,"",MAX(0,D20-Panel!$E$6)))</f>
        <v/>
      </c>
      <c r="L20" s="21">
        <f>IF(D20="","",IF(M20&lt;Panel!$E$6,"Pasado",IF(D20&lt;=Panel!$E$6,"En curso",IF(D20-Panel!$E$6&lt;=Panel!$G$6,"Próximo","Pendiente"))))</f>
        <v/>
      </c>
      <c r="M20" s="27">
        <f>IF(D20="","",IF(E20="",D20,MAX(D20,E20)))</f>
        <v/>
      </c>
      <c r="N20" s="28">
        <f>IF(D20="","",IF(M20&lt;Panel!$E$6,"",D20+ROW()/100000))</f>
        <v/>
      </c>
      <c r="O20" s="28">
        <f>IF(AND(N20&lt;&gt;"",C20="Evaluación"),N20,"")</f>
        <v/>
      </c>
      <c r="P20" s="28">
        <f>IF(AND(N20&lt;&gt;"",I20="Sí"),N20,"")</f>
        <v/>
      </c>
    </row>
    <row r="21">
      <c r="B21" s="26" t="inlineStr">
        <is>
          <t>Salida a la granja-escuela</t>
        </is>
      </c>
      <c r="C21" s="5" t="inlineStr">
        <is>
          <t>Excursión</t>
        </is>
      </c>
      <c r="D21" s="6" t="n">
        <v>46497</v>
      </c>
      <c r="E21" s="6" t="n"/>
      <c r="F21" s="5" t="inlineStr">
        <is>
          <t>1.º ESO</t>
        </is>
      </c>
      <c r="G21" s="22">
        <f>IF(D21="","",M21-D21+1)</f>
        <v/>
      </c>
      <c r="H21" s="21">
        <f>IF(D21="","",MID("LunMarMiéJueVieSábDom",(WEEKDAY(D21,2)-1)*3+1,3))</f>
        <v/>
      </c>
      <c r="I21" s="21">
        <f>IF(OR(D21="",C21=""),"",IF(IFERROR(VLOOKUP(C21,Listas!$A$2:$B$9,2,0),0)=1,"Sí","No"))</f>
        <v/>
      </c>
      <c r="J21" s="22">
        <f>IF(I21="Sí",COUNTIFS(Días!$B$8:$B$317,"&gt;="&amp;D21,Días!$B$8:$B$317,"&lt;="&amp;M21,Días!$D$8:$D$317,1),IF(I21="","",0))</f>
        <v/>
      </c>
      <c r="K21" s="22">
        <f>IF(D21="","",IF(M21&lt;Panel!$E$6,"",MAX(0,D21-Panel!$E$6)))</f>
        <v/>
      </c>
      <c r="L21" s="21">
        <f>IF(D21="","",IF(M21&lt;Panel!$E$6,"Pasado",IF(D21&lt;=Panel!$E$6,"En curso",IF(D21-Panel!$E$6&lt;=Panel!$G$6,"Próximo","Pendiente"))))</f>
        <v/>
      </c>
      <c r="M21" s="27">
        <f>IF(D21="","",IF(E21="",D21,MAX(D21,E21)))</f>
        <v/>
      </c>
      <c r="N21" s="28">
        <f>IF(D21="","",IF(M21&lt;Panel!$E$6,"",D21+ROW()/100000))</f>
        <v/>
      </c>
      <c r="O21" s="28">
        <f>IF(AND(N21&lt;&gt;"",C21="Evaluación"),N21,"")</f>
        <v/>
      </c>
      <c r="P21" s="28">
        <f>IF(AND(N21&lt;&gt;"",I21="Sí"),N21,"")</f>
        <v/>
      </c>
    </row>
    <row r="22">
      <c r="B22" s="26" t="inlineStr">
        <is>
          <t>Exámenes de la 3.ª evaluación</t>
        </is>
      </c>
      <c r="C22" s="5" t="inlineStr">
        <is>
          <t>Evaluación</t>
        </is>
      </c>
      <c r="D22" s="6" t="n">
        <v>46538</v>
      </c>
      <c r="E22" s="6" t="n">
        <v>46542</v>
      </c>
      <c r="F22" s="5" t="inlineStr">
        <is>
          <t>ESO y Bachillerato</t>
        </is>
      </c>
      <c r="G22" s="22">
        <f>IF(D22="","",M22-D22+1)</f>
        <v/>
      </c>
      <c r="H22" s="21">
        <f>IF(D22="","",MID("LunMarMiéJueVieSábDom",(WEEKDAY(D22,2)-1)*3+1,3))</f>
        <v/>
      </c>
      <c r="I22" s="21">
        <f>IF(OR(D22="",C22=""),"",IF(IFERROR(VLOOKUP(C22,Listas!$A$2:$B$9,2,0),0)=1,"Sí","No"))</f>
        <v/>
      </c>
      <c r="J22" s="22">
        <f>IF(I22="Sí",COUNTIFS(Días!$B$8:$B$317,"&gt;="&amp;D22,Días!$B$8:$B$317,"&lt;="&amp;M22,Días!$D$8:$D$317,1),IF(I22="","",0))</f>
        <v/>
      </c>
      <c r="K22" s="22">
        <f>IF(D22="","",IF(M22&lt;Panel!$E$6,"",MAX(0,D22-Panel!$E$6)))</f>
        <v/>
      </c>
      <c r="L22" s="21">
        <f>IF(D22="","",IF(M22&lt;Panel!$E$6,"Pasado",IF(D22&lt;=Panel!$E$6,"En curso",IF(D22-Panel!$E$6&lt;=Panel!$G$6,"Próximo","Pendiente"))))</f>
        <v/>
      </c>
      <c r="M22" s="27">
        <f>IF(D22="","",IF(E22="",D22,MAX(D22,E22)))</f>
        <v/>
      </c>
      <c r="N22" s="28">
        <f>IF(D22="","",IF(M22&lt;Panel!$E$6,"",D22+ROW()/100000))</f>
        <v/>
      </c>
      <c r="O22" s="28">
        <f>IF(AND(N22&lt;&gt;"",C22="Evaluación"),N22,"")</f>
        <v/>
      </c>
      <c r="P22" s="28">
        <f>IF(AND(N22&lt;&gt;"",I22="Sí"),N22,"")</f>
        <v/>
      </c>
    </row>
    <row r="23">
      <c r="B23" s="26" t="inlineStr">
        <is>
          <t>Entrega de notas finales</t>
        </is>
      </c>
      <c r="C23" s="5" t="inlineStr">
        <is>
          <t>Entrega de notas</t>
        </is>
      </c>
      <c r="D23" s="6" t="n">
        <v>46555</v>
      </c>
      <c r="E23" s="6" t="n"/>
      <c r="F23" s="5" t="inlineStr">
        <is>
          <t>Familias</t>
        </is>
      </c>
      <c r="G23" s="22">
        <f>IF(D23="","",M23-D23+1)</f>
        <v/>
      </c>
      <c r="H23" s="21">
        <f>IF(D23="","",MID("LunMarMiéJueVieSábDom",(WEEKDAY(D23,2)-1)*3+1,3))</f>
        <v/>
      </c>
      <c r="I23" s="21">
        <f>IF(OR(D23="",C23=""),"",IF(IFERROR(VLOOKUP(C23,Listas!$A$2:$B$9,2,0),0)=1,"Sí","No"))</f>
        <v/>
      </c>
      <c r="J23" s="22">
        <f>IF(I23="Sí",COUNTIFS(Días!$B$8:$B$317,"&gt;="&amp;D23,Días!$B$8:$B$317,"&lt;="&amp;M23,Días!$D$8:$D$317,1),IF(I23="","",0))</f>
        <v/>
      </c>
      <c r="K23" s="22">
        <f>IF(D23="","",IF(M23&lt;Panel!$E$6,"",MAX(0,D23-Panel!$E$6)))</f>
        <v/>
      </c>
      <c r="L23" s="21">
        <f>IF(D23="","",IF(M23&lt;Panel!$E$6,"Pasado",IF(D23&lt;=Panel!$E$6,"En curso",IF(D23-Panel!$E$6&lt;=Panel!$G$6,"Próximo","Pendiente"))))</f>
        <v/>
      </c>
      <c r="M23" s="27">
        <f>IF(D23="","",IF(E23="",D23,MAX(D23,E23)))</f>
        <v/>
      </c>
      <c r="N23" s="28">
        <f>IF(D23="","",IF(M23&lt;Panel!$E$6,"",D23+ROW()/100000))</f>
        <v/>
      </c>
      <c r="O23" s="28">
        <f>IF(AND(N23&lt;&gt;"",C23="Evaluación"),N23,"")</f>
        <v/>
      </c>
      <c r="P23" s="28">
        <f>IF(AND(N23&lt;&gt;"",I23="Sí"),N23,"")</f>
        <v/>
      </c>
    </row>
    <row r="24">
      <c r="B24" s="26" t="inlineStr">
        <is>
          <t>Fiesta de fin de curso</t>
        </is>
      </c>
      <c r="C24" s="5" t="inlineStr">
        <is>
          <t>Evento del centro</t>
        </is>
      </c>
      <c r="D24" s="6" t="n">
        <v>46556</v>
      </c>
      <c r="E24" s="6" t="n"/>
      <c r="F24" s="5" t="inlineStr">
        <is>
          <t>Todo el centro</t>
        </is>
      </c>
      <c r="G24" s="22">
        <f>IF(D24="","",M24-D24+1)</f>
        <v/>
      </c>
      <c r="H24" s="21">
        <f>IF(D24="","",MID("LunMarMiéJueVieSábDom",(WEEKDAY(D24,2)-1)*3+1,3))</f>
        <v/>
      </c>
      <c r="I24" s="21">
        <f>IF(OR(D24="",C24=""),"",IF(IFERROR(VLOOKUP(C24,Listas!$A$2:$B$9,2,0),0)=1,"Sí","No"))</f>
        <v/>
      </c>
      <c r="J24" s="22">
        <f>IF(I24="Sí",COUNTIFS(Días!$B$8:$B$317,"&gt;="&amp;D24,Días!$B$8:$B$317,"&lt;="&amp;M24,Días!$D$8:$D$317,1),IF(I24="","",0))</f>
        <v/>
      </c>
      <c r="K24" s="22">
        <f>IF(D24="","",IF(M24&lt;Panel!$E$6,"",MAX(0,D24-Panel!$E$6)))</f>
        <v/>
      </c>
      <c r="L24" s="21">
        <f>IF(D24="","",IF(M24&lt;Panel!$E$6,"Pasado",IF(D24&lt;=Panel!$E$6,"En curso",IF(D24-Panel!$E$6&lt;=Panel!$G$6,"Próximo","Pendiente"))))</f>
        <v/>
      </c>
      <c r="M24" s="27">
        <f>IF(D24="","",IF(E24="",D24,MAX(D24,E24)))</f>
        <v/>
      </c>
      <c r="N24" s="28">
        <f>IF(D24="","",IF(M24&lt;Panel!$E$6,"",D24+ROW()/100000))</f>
        <v/>
      </c>
      <c r="O24" s="28">
        <f>IF(AND(N24&lt;&gt;"",C24="Evaluación"),N24,"")</f>
        <v/>
      </c>
      <c r="P24" s="28">
        <f>IF(AND(N24&lt;&gt;"",I24="Sí"),N24,"")</f>
        <v/>
      </c>
    </row>
    <row r="25">
      <c r="B25" s="26" t="n"/>
      <c r="C25" s="5" t="n"/>
      <c r="D25" s="6" t="n"/>
      <c r="E25" s="6" t="n"/>
      <c r="F25" s="5" t="n"/>
      <c r="G25" s="22">
        <f>IF(D25="","",M25-D25+1)</f>
        <v/>
      </c>
      <c r="H25" s="21">
        <f>IF(D25="","",MID("LunMarMiéJueVieSábDom",(WEEKDAY(D25,2)-1)*3+1,3))</f>
        <v/>
      </c>
      <c r="I25" s="21">
        <f>IF(OR(D25="",C25=""),"",IF(IFERROR(VLOOKUP(C25,Listas!$A$2:$B$9,2,0),0)=1,"Sí","No"))</f>
        <v/>
      </c>
      <c r="J25" s="22">
        <f>IF(I25="Sí",COUNTIFS(Días!$B$8:$B$317,"&gt;="&amp;D25,Días!$B$8:$B$317,"&lt;="&amp;M25,Días!$D$8:$D$317,1),IF(I25="","",0))</f>
        <v/>
      </c>
      <c r="K25" s="22">
        <f>IF(D25="","",IF(M25&lt;Panel!$E$6,"",MAX(0,D25-Panel!$E$6)))</f>
        <v/>
      </c>
      <c r="L25" s="21">
        <f>IF(D25="","",IF(M25&lt;Panel!$E$6,"Pasado",IF(D25&lt;=Panel!$E$6,"En curso",IF(D25-Panel!$E$6&lt;=Panel!$G$6,"Próximo","Pendiente"))))</f>
        <v/>
      </c>
      <c r="M25" s="27">
        <f>IF(D25="","",IF(E25="",D25,MAX(D25,E25)))</f>
        <v/>
      </c>
      <c r="N25" s="28">
        <f>IF(D25="","",IF(M25&lt;Panel!$E$6,"",D25+ROW()/100000))</f>
        <v/>
      </c>
      <c r="O25" s="28">
        <f>IF(AND(N25&lt;&gt;"",C25="Evaluación"),N25,"")</f>
        <v/>
      </c>
      <c r="P25" s="28">
        <f>IF(AND(N25&lt;&gt;"",I25="Sí"),N25,"")</f>
        <v/>
      </c>
    </row>
    <row r="26">
      <c r="B26" s="26" t="n"/>
      <c r="C26" s="5" t="n"/>
      <c r="D26" s="6" t="n"/>
      <c r="E26" s="6" t="n"/>
      <c r="F26" s="5" t="n"/>
      <c r="G26" s="22">
        <f>IF(D26="","",M26-D26+1)</f>
        <v/>
      </c>
      <c r="H26" s="21">
        <f>IF(D26="","",MID("LunMarMiéJueVieSábDom",(WEEKDAY(D26,2)-1)*3+1,3))</f>
        <v/>
      </c>
      <c r="I26" s="21">
        <f>IF(OR(D26="",C26=""),"",IF(IFERROR(VLOOKUP(C26,Listas!$A$2:$B$9,2,0),0)=1,"Sí","No"))</f>
        <v/>
      </c>
      <c r="J26" s="22">
        <f>IF(I26="Sí",COUNTIFS(Días!$B$8:$B$317,"&gt;="&amp;D26,Días!$B$8:$B$317,"&lt;="&amp;M26,Días!$D$8:$D$317,1),IF(I26="","",0))</f>
        <v/>
      </c>
      <c r="K26" s="22">
        <f>IF(D26="","",IF(M26&lt;Panel!$E$6,"",MAX(0,D26-Panel!$E$6)))</f>
        <v/>
      </c>
      <c r="L26" s="21">
        <f>IF(D26="","",IF(M26&lt;Panel!$E$6,"Pasado",IF(D26&lt;=Panel!$E$6,"En curso",IF(D26-Panel!$E$6&lt;=Panel!$G$6,"Próximo","Pendiente"))))</f>
        <v/>
      </c>
      <c r="M26" s="27">
        <f>IF(D26="","",IF(E26="",D26,MAX(D26,E26)))</f>
        <v/>
      </c>
      <c r="N26" s="28">
        <f>IF(D26="","",IF(M26&lt;Panel!$E$6,"",D26+ROW()/100000))</f>
        <v/>
      </c>
      <c r="O26" s="28">
        <f>IF(AND(N26&lt;&gt;"",C26="Evaluación"),N26,"")</f>
        <v/>
      </c>
      <c r="P26" s="28">
        <f>IF(AND(N26&lt;&gt;"",I26="Sí"),N26,"")</f>
        <v/>
      </c>
    </row>
    <row r="27">
      <c r="B27" s="26" t="n"/>
      <c r="C27" s="5" t="n"/>
      <c r="D27" s="6" t="n"/>
      <c r="E27" s="6" t="n"/>
      <c r="F27" s="5" t="n"/>
      <c r="G27" s="22">
        <f>IF(D27="","",M27-D27+1)</f>
        <v/>
      </c>
      <c r="H27" s="21">
        <f>IF(D27="","",MID("LunMarMiéJueVieSábDom",(WEEKDAY(D27,2)-1)*3+1,3))</f>
        <v/>
      </c>
      <c r="I27" s="21">
        <f>IF(OR(D27="",C27=""),"",IF(IFERROR(VLOOKUP(C27,Listas!$A$2:$B$9,2,0),0)=1,"Sí","No"))</f>
        <v/>
      </c>
      <c r="J27" s="22">
        <f>IF(I27="Sí",COUNTIFS(Días!$B$8:$B$317,"&gt;="&amp;D27,Días!$B$8:$B$317,"&lt;="&amp;M27,Días!$D$8:$D$317,1),IF(I27="","",0))</f>
        <v/>
      </c>
      <c r="K27" s="22">
        <f>IF(D27="","",IF(M27&lt;Panel!$E$6,"",MAX(0,D27-Panel!$E$6)))</f>
        <v/>
      </c>
      <c r="L27" s="21">
        <f>IF(D27="","",IF(M27&lt;Panel!$E$6,"Pasado",IF(D27&lt;=Panel!$E$6,"En curso",IF(D27-Panel!$E$6&lt;=Panel!$G$6,"Próximo","Pendiente"))))</f>
        <v/>
      </c>
      <c r="M27" s="27">
        <f>IF(D27="","",IF(E27="",D27,MAX(D27,E27)))</f>
        <v/>
      </c>
      <c r="N27" s="28">
        <f>IF(D27="","",IF(M27&lt;Panel!$E$6,"",D27+ROW()/100000))</f>
        <v/>
      </c>
      <c r="O27" s="28">
        <f>IF(AND(N27&lt;&gt;"",C27="Evaluación"),N27,"")</f>
        <v/>
      </c>
      <c r="P27" s="28">
        <f>IF(AND(N27&lt;&gt;"",I27="Sí"),N27,"")</f>
        <v/>
      </c>
    </row>
    <row r="28">
      <c r="B28" s="26" t="n"/>
      <c r="C28" s="5" t="n"/>
      <c r="D28" s="6" t="n"/>
      <c r="E28" s="6" t="n"/>
      <c r="F28" s="5" t="n"/>
      <c r="G28" s="22">
        <f>IF(D28="","",M28-D28+1)</f>
        <v/>
      </c>
      <c r="H28" s="21">
        <f>IF(D28="","",MID("LunMarMiéJueVieSábDom",(WEEKDAY(D28,2)-1)*3+1,3))</f>
        <v/>
      </c>
      <c r="I28" s="21">
        <f>IF(OR(D28="",C28=""),"",IF(IFERROR(VLOOKUP(C28,Listas!$A$2:$B$9,2,0),0)=1,"Sí","No"))</f>
        <v/>
      </c>
      <c r="J28" s="22">
        <f>IF(I28="Sí",COUNTIFS(Días!$B$8:$B$317,"&gt;="&amp;D28,Días!$B$8:$B$317,"&lt;="&amp;M28,Días!$D$8:$D$317,1),IF(I28="","",0))</f>
        <v/>
      </c>
      <c r="K28" s="22">
        <f>IF(D28="","",IF(M28&lt;Panel!$E$6,"",MAX(0,D28-Panel!$E$6)))</f>
        <v/>
      </c>
      <c r="L28" s="21">
        <f>IF(D28="","",IF(M28&lt;Panel!$E$6,"Pasado",IF(D28&lt;=Panel!$E$6,"En curso",IF(D28-Panel!$E$6&lt;=Panel!$G$6,"Próximo","Pendiente"))))</f>
        <v/>
      </c>
      <c r="M28" s="27">
        <f>IF(D28="","",IF(E28="",D28,MAX(D28,E28)))</f>
        <v/>
      </c>
      <c r="N28" s="28">
        <f>IF(D28="","",IF(M28&lt;Panel!$E$6,"",D28+ROW()/100000))</f>
        <v/>
      </c>
      <c r="O28" s="28">
        <f>IF(AND(N28&lt;&gt;"",C28="Evaluación"),N28,"")</f>
        <v/>
      </c>
      <c r="P28" s="28">
        <f>IF(AND(N28&lt;&gt;"",I28="Sí"),N28,"")</f>
        <v/>
      </c>
    </row>
    <row r="29">
      <c r="B29" s="26" t="n"/>
      <c r="C29" s="5" t="n"/>
      <c r="D29" s="6" t="n"/>
      <c r="E29" s="6" t="n"/>
      <c r="F29" s="5" t="n"/>
      <c r="G29" s="22">
        <f>IF(D29="","",M29-D29+1)</f>
        <v/>
      </c>
      <c r="H29" s="21">
        <f>IF(D29="","",MID("LunMarMiéJueVieSábDom",(WEEKDAY(D29,2)-1)*3+1,3))</f>
        <v/>
      </c>
      <c r="I29" s="21">
        <f>IF(OR(D29="",C29=""),"",IF(IFERROR(VLOOKUP(C29,Listas!$A$2:$B$9,2,0),0)=1,"Sí","No"))</f>
        <v/>
      </c>
      <c r="J29" s="22">
        <f>IF(I29="Sí",COUNTIFS(Días!$B$8:$B$317,"&gt;="&amp;D29,Días!$B$8:$B$317,"&lt;="&amp;M29,Días!$D$8:$D$317,1),IF(I29="","",0))</f>
        <v/>
      </c>
      <c r="K29" s="22">
        <f>IF(D29="","",IF(M29&lt;Panel!$E$6,"",MAX(0,D29-Panel!$E$6)))</f>
        <v/>
      </c>
      <c r="L29" s="21">
        <f>IF(D29="","",IF(M29&lt;Panel!$E$6,"Pasado",IF(D29&lt;=Panel!$E$6,"En curso",IF(D29-Panel!$E$6&lt;=Panel!$G$6,"Próximo","Pendiente"))))</f>
        <v/>
      </c>
      <c r="M29" s="27">
        <f>IF(D29="","",IF(E29="",D29,MAX(D29,E29)))</f>
        <v/>
      </c>
      <c r="N29" s="28">
        <f>IF(D29="","",IF(M29&lt;Panel!$E$6,"",D29+ROW()/100000))</f>
        <v/>
      </c>
      <c r="O29" s="28">
        <f>IF(AND(N29&lt;&gt;"",C29="Evaluación"),N29,"")</f>
        <v/>
      </c>
      <c r="P29" s="28">
        <f>IF(AND(N29&lt;&gt;"",I29="Sí"),N29,"")</f>
        <v/>
      </c>
    </row>
    <row r="30">
      <c r="B30" s="26" t="n"/>
      <c r="C30" s="5" t="n"/>
      <c r="D30" s="6" t="n"/>
      <c r="E30" s="6" t="n"/>
      <c r="F30" s="5" t="n"/>
      <c r="G30" s="22">
        <f>IF(D30="","",M30-D30+1)</f>
        <v/>
      </c>
      <c r="H30" s="21">
        <f>IF(D30="","",MID("LunMarMiéJueVieSábDom",(WEEKDAY(D30,2)-1)*3+1,3))</f>
        <v/>
      </c>
      <c r="I30" s="21">
        <f>IF(OR(D30="",C30=""),"",IF(IFERROR(VLOOKUP(C30,Listas!$A$2:$B$9,2,0),0)=1,"Sí","No"))</f>
        <v/>
      </c>
      <c r="J30" s="22">
        <f>IF(I30="Sí",COUNTIFS(Días!$B$8:$B$317,"&gt;="&amp;D30,Días!$B$8:$B$317,"&lt;="&amp;M30,Días!$D$8:$D$317,1),IF(I30="","",0))</f>
        <v/>
      </c>
      <c r="K30" s="22">
        <f>IF(D30="","",IF(M30&lt;Panel!$E$6,"",MAX(0,D30-Panel!$E$6)))</f>
        <v/>
      </c>
      <c r="L30" s="21">
        <f>IF(D30="","",IF(M30&lt;Panel!$E$6,"Pasado",IF(D30&lt;=Panel!$E$6,"En curso",IF(D30-Panel!$E$6&lt;=Panel!$G$6,"Próximo","Pendiente"))))</f>
        <v/>
      </c>
      <c r="M30" s="27">
        <f>IF(D30="","",IF(E30="",D30,MAX(D30,E30)))</f>
        <v/>
      </c>
      <c r="N30" s="28">
        <f>IF(D30="","",IF(M30&lt;Panel!$E$6,"",D30+ROW()/100000))</f>
        <v/>
      </c>
      <c r="O30" s="28">
        <f>IF(AND(N30&lt;&gt;"",C30="Evaluación"),N30,"")</f>
        <v/>
      </c>
      <c r="P30" s="28">
        <f>IF(AND(N30&lt;&gt;"",I30="Sí"),N30,"")</f>
        <v/>
      </c>
    </row>
    <row r="31">
      <c r="B31" s="26" t="n"/>
      <c r="C31" s="5" t="n"/>
      <c r="D31" s="6" t="n"/>
      <c r="E31" s="6" t="n"/>
      <c r="F31" s="5" t="n"/>
      <c r="G31" s="22">
        <f>IF(D31="","",M31-D31+1)</f>
        <v/>
      </c>
      <c r="H31" s="21">
        <f>IF(D31="","",MID("LunMarMiéJueVieSábDom",(WEEKDAY(D31,2)-1)*3+1,3))</f>
        <v/>
      </c>
      <c r="I31" s="21">
        <f>IF(OR(D31="",C31=""),"",IF(IFERROR(VLOOKUP(C31,Listas!$A$2:$B$9,2,0),0)=1,"Sí","No"))</f>
        <v/>
      </c>
      <c r="J31" s="22">
        <f>IF(I31="Sí",COUNTIFS(Días!$B$8:$B$317,"&gt;="&amp;D31,Días!$B$8:$B$317,"&lt;="&amp;M31,Días!$D$8:$D$317,1),IF(I31="","",0))</f>
        <v/>
      </c>
      <c r="K31" s="22">
        <f>IF(D31="","",IF(M31&lt;Panel!$E$6,"",MAX(0,D31-Panel!$E$6)))</f>
        <v/>
      </c>
      <c r="L31" s="21">
        <f>IF(D31="","",IF(M31&lt;Panel!$E$6,"Pasado",IF(D31&lt;=Panel!$E$6,"En curso",IF(D31-Panel!$E$6&lt;=Panel!$G$6,"Próximo","Pendiente"))))</f>
        <v/>
      </c>
      <c r="M31" s="27">
        <f>IF(D31="","",IF(E31="",D31,MAX(D31,E31)))</f>
        <v/>
      </c>
      <c r="N31" s="28">
        <f>IF(D31="","",IF(M31&lt;Panel!$E$6,"",D31+ROW()/100000))</f>
        <v/>
      </c>
      <c r="O31" s="28">
        <f>IF(AND(N31&lt;&gt;"",C31="Evaluación"),N31,"")</f>
        <v/>
      </c>
      <c r="P31" s="28">
        <f>IF(AND(N31&lt;&gt;"",I31="Sí"),N31,"")</f>
        <v/>
      </c>
    </row>
    <row r="32">
      <c r="B32" s="26" t="n"/>
      <c r="C32" s="5" t="n"/>
      <c r="D32" s="6" t="n"/>
      <c r="E32" s="6" t="n"/>
      <c r="F32" s="5" t="n"/>
      <c r="G32" s="22">
        <f>IF(D32="","",M32-D32+1)</f>
        <v/>
      </c>
      <c r="H32" s="21">
        <f>IF(D32="","",MID("LunMarMiéJueVieSábDom",(WEEKDAY(D32,2)-1)*3+1,3))</f>
        <v/>
      </c>
      <c r="I32" s="21">
        <f>IF(OR(D32="",C32=""),"",IF(IFERROR(VLOOKUP(C32,Listas!$A$2:$B$9,2,0),0)=1,"Sí","No"))</f>
        <v/>
      </c>
      <c r="J32" s="22">
        <f>IF(I32="Sí",COUNTIFS(Días!$B$8:$B$317,"&gt;="&amp;D32,Días!$B$8:$B$317,"&lt;="&amp;M32,Días!$D$8:$D$317,1),IF(I32="","",0))</f>
        <v/>
      </c>
      <c r="K32" s="22">
        <f>IF(D32="","",IF(M32&lt;Panel!$E$6,"",MAX(0,D32-Panel!$E$6)))</f>
        <v/>
      </c>
      <c r="L32" s="21">
        <f>IF(D32="","",IF(M32&lt;Panel!$E$6,"Pasado",IF(D32&lt;=Panel!$E$6,"En curso",IF(D32-Panel!$E$6&lt;=Panel!$G$6,"Próximo","Pendiente"))))</f>
        <v/>
      </c>
      <c r="M32" s="27">
        <f>IF(D32="","",IF(E32="",D32,MAX(D32,E32)))</f>
        <v/>
      </c>
      <c r="N32" s="28">
        <f>IF(D32="","",IF(M32&lt;Panel!$E$6,"",D32+ROW()/100000))</f>
        <v/>
      </c>
      <c r="O32" s="28">
        <f>IF(AND(N32&lt;&gt;"",C32="Evaluación"),N32,"")</f>
        <v/>
      </c>
      <c r="P32" s="28">
        <f>IF(AND(N32&lt;&gt;"",I32="Sí"),N32,"")</f>
        <v/>
      </c>
    </row>
    <row r="33">
      <c r="B33" s="26" t="n"/>
      <c r="C33" s="5" t="n"/>
      <c r="D33" s="6" t="n"/>
      <c r="E33" s="6" t="n"/>
      <c r="F33" s="5" t="n"/>
      <c r="G33" s="22">
        <f>IF(D33="","",M33-D33+1)</f>
        <v/>
      </c>
      <c r="H33" s="21">
        <f>IF(D33="","",MID("LunMarMiéJueVieSábDom",(WEEKDAY(D33,2)-1)*3+1,3))</f>
        <v/>
      </c>
      <c r="I33" s="21">
        <f>IF(OR(D33="",C33=""),"",IF(IFERROR(VLOOKUP(C33,Listas!$A$2:$B$9,2,0),0)=1,"Sí","No"))</f>
        <v/>
      </c>
      <c r="J33" s="22">
        <f>IF(I33="Sí",COUNTIFS(Días!$B$8:$B$317,"&gt;="&amp;D33,Días!$B$8:$B$317,"&lt;="&amp;M33,Días!$D$8:$D$317,1),IF(I33="","",0))</f>
        <v/>
      </c>
      <c r="K33" s="22">
        <f>IF(D33="","",IF(M33&lt;Panel!$E$6,"",MAX(0,D33-Panel!$E$6)))</f>
        <v/>
      </c>
      <c r="L33" s="21">
        <f>IF(D33="","",IF(M33&lt;Panel!$E$6,"Pasado",IF(D33&lt;=Panel!$E$6,"En curso",IF(D33-Panel!$E$6&lt;=Panel!$G$6,"Próximo","Pendiente"))))</f>
        <v/>
      </c>
      <c r="M33" s="27">
        <f>IF(D33="","",IF(E33="",D33,MAX(D33,E33)))</f>
        <v/>
      </c>
      <c r="N33" s="28">
        <f>IF(D33="","",IF(M33&lt;Panel!$E$6,"",D33+ROW()/100000))</f>
        <v/>
      </c>
      <c r="O33" s="28">
        <f>IF(AND(N33&lt;&gt;"",C33="Evaluación"),N33,"")</f>
        <v/>
      </c>
      <c r="P33" s="28">
        <f>IF(AND(N33&lt;&gt;"",I33="Sí"),N33,"")</f>
        <v/>
      </c>
    </row>
    <row r="34">
      <c r="B34" s="26" t="n"/>
      <c r="C34" s="5" t="n"/>
      <c r="D34" s="6" t="n"/>
      <c r="E34" s="6" t="n"/>
      <c r="F34" s="5" t="n"/>
      <c r="G34" s="22">
        <f>IF(D34="","",M34-D34+1)</f>
        <v/>
      </c>
      <c r="H34" s="21">
        <f>IF(D34="","",MID("LunMarMiéJueVieSábDom",(WEEKDAY(D34,2)-1)*3+1,3))</f>
        <v/>
      </c>
      <c r="I34" s="21">
        <f>IF(OR(D34="",C34=""),"",IF(IFERROR(VLOOKUP(C34,Listas!$A$2:$B$9,2,0),0)=1,"Sí","No"))</f>
        <v/>
      </c>
      <c r="J34" s="22">
        <f>IF(I34="Sí",COUNTIFS(Días!$B$8:$B$317,"&gt;="&amp;D34,Días!$B$8:$B$317,"&lt;="&amp;M34,Días!$D$8:$D$317,1),IF(I34="","",0))</f>
        <v/>
      </c>
      <c r="K34" s="22">
        <f>IF(D34="","",IF(M34&lt;Panel!$E$6,"",MAX(0,D34-Panel!$E$6)))</f>
        <v/>
      </c>
      <c r="L34" s="21">
        <f>IF(D34="","",IF(M34&lt;Panel!$E$6,"Pasado",IF(D34&lt;=Panel!$E$6,"En curso",IF(D34-Panel!$E$6&lt;=Panel!$G$6,"Próximo","Pendiente"))))</f>
        <v/>
      </c>
      <c r="M34" s="27">
        <f>IF(D34="","",IF(E34="",D34,MAX(D34,E34)))</f>
        <v/>
      </c>
      <c r="N34" s="28">
        <f>IF(D34="","",IF(M34&lt;Panel!$E$6,"",D34+ROW()/100000))</f>
        <v/>
      </c>
      <c r="O34" s="28">
        <f>IF(AND(N34&lt;&gt;"",C34="Evaluación"),N34,"")</f>
        <v/>
      </c>
      <c r="P34" s="28">
        <f>IF(AND(N34&lt;&gt;"",I34="Sí"),N34,"")</f>
        <v/>
      </c>
    </row>
    <row r="35">
      <c r="B35" s="26" t="n"/>
      <c r="C35" s="5" t="n"/>
      <c r="D35" s="6" t="n"/>
      <c r="E35" s="6" t="n"/>
      <c r="F35" s="5" t="n"/>
      <c r="G35" s="22">
        <f>IF(D35="","",M35-D35+1)</f>
        <v/>
      </c>
      <c r="H35" s="21">
        <f>IF(D35="","",MID("LunMarMiéJueVieSábDom",(WEEKDAY(D35,2)-1)*3+1,3))</f>
        <v/>
      </c>
      <c r="I35" s="21">
        <f>IF(OR(D35="",C35=""),"",IF(IFERROR(VLOOKUP(C35,Listas!$A$2:$B$9,2,0),0)=1,"Sí","No"))</f>
        <v/>
      </c>
      <c r="J35" s="22">
        <f>IF(I35="Sí",COUNTIFS(Días!$B$8:$B$317,"&gt;="&amp;D35,Días!$B$8:$B$317,"&lt;="&amp;M35,Días!$D$8:$D$317,1),IF(I35="","",0))</f>
        <v/>
      </c>
      <c r="K35" s="22">
        <f>IF(D35="","",IF(M35&lt;Panel!$E$6,"",MAX(0,D35-Panel!$E$6)))</f>
        <v/>
      </c>
      <c r="L35" s="21">
        <f>IF(D35="","",IF(M35&lt;Panel!$E$6,"Pasado",IF(D35&lt;=Panel!$E$6,"En curso",IF(D35-Panel!$E$6&lt;=Panel!$G$6,"Próximo","Pendiente"))))</f>
        <v/>
      </c>
      <c r="M35" s="27">
        <f>IF(D35="","",IF(E35="",D35,MAX(D35,E35)))</f>
        <v/>
      </c>
      <c r="N35" s="28">
        <f>IF(D35="","",IF(M35&lt;Panel!$E$6,"",D35+ROW()/100000))</f>
        <v/>
      </c>
      <c r="O35" s="28">
        <f>IF(AND(N35&lt;&gt;"",C35="Evaluación"),N35,"")</f>
        <v/>
      </c>
      <c r="P35" s="28">
        <f>IF(AND(N35&lt;&gt;"",I35="Sí"),N35,"")</f>
        <v/>
      </c>
    </row>
    <row r="36">
      <c r="B36" s="26" t="n"/>
      <c r="C36" s="5" t="n"/>
      <c r="D36" s="6" t="n"/>
      <c r="E36" s="6" t="n"/>
      <c r="F36" s="5" t="n"/>
      <c r="G36" s="22">
        <f>IF(D36="","",M36-D36+1)</f>
        <v/>
      </c>
      <c r="H36" s="21">
        <f>IF(D36="","",MID("LunMarMiéJueVieSábDom",(WEEKDAY(D36,2)-1)*3+1,3))</f>
        <v/>
      </c>
      <c r="I36" s="21">
        <f>IF(OR(D36="",C36=""),"",IF(IFERROR(VLOOKUP(C36,Listas!$A$2:$B$9,2,0),0)=1,"Sí","No"))</f>
        <v/>
      </c>
      <c r="J36" s="22">
        <f>IF(I36="Sí",COUNTIFS(Días!$B$8:$B$317,"&gt;="&amp;D36,Días!$B$8:$B$317,"&lt;="&amp;M36,Días!$D$8:$D$317,1),IF(I36="","",0))</f>
        <v/>
      </c>
      <c r="K36" s="22">
        <f>IF(D36="","",IF(M36&lt;Panel!$E$6,"",MAX(0,D36-Panel!$E$6)))</f>
        <v/>
      </c>
      <c r="L36" s="21">
        <f>IF(D36="","",IF(M36&lt;Panel!$E$6,"Pasado",IF(D36&lt;=Panel!$E$6,"En curso",IF(D36-Panel!$E$6&lt;=Panel!$G$6,"Próximo","Pendiente"))))</f>
        <v/>
      </c>
      <c r="M36" s="27">
        <f>IF(D36="","",IF(E36="",D36,MAX(D36,E36)))</f>
        <v/>
      </c>
      <c r="N36" s="28">
        <f>IF(D36="","",IF(M36&lt;Panel!$E$6,"",D36+ROW()/100000))</f>
        <v/>
      </c>
      <c r="O36" s="28">
        <f>IF(AND(N36&lt;&gt;"",C36="Evaluación"),N36,"")</f>
        <v/>
      </c>
      <c r="P36" s="28">
        <f>IF(AND(N36&lt;&gt;"",I36="Sí"),N36,"")</f>
        <v/>
      </c>
    </row>
    <row r="37">
      <c r="B37" s="26" t="n"/>
      <c r="C37" s="5" t="n"/>
      <c r="D37" s="6" t="n"/>
      <c r="E37" s="6" t="n"/>
      <c r="F37" s="5" t="n"/>
      <c r="G37" s="22">
        <f>IF(D37="","",M37-D37+1)</f>
        <v/>
      </c>
      <c r="H37" s="21">
        <f>IF(D37="","",MID("LunMarMiéJueVieSábDom",(WEEKDAY(D37,2)-1)*3+1,3))</f>
        <v/>
      </c>
      <c r="I37" s="21">
        <f>IF(OR(D37="",C37=""),"",IF(IFERROR(VLOOKUP(C37,Listas!$A$2:$B$9,2,0),0)=1,"Sí","No"))</f>
        <v/>
      </c>
      <c r="J37" s="22">
        <f>IF(I37="Sí",COUNTIFS(Días!$B$8:$B$317,"&gt;="&amp;D37,Días!$B$8:$B$317,"&lt;="&amp;M37,Días!$D$8:$D$317,1),IF(I37="","",0))</f>
        <v/>
      </c>
      <c r="K37" s="22">
        <f>IF(D37="","",IF(M37&lt;Panel!$E$6,"",MAX(0,D37-Panel!$E$6)))</f>
        <v/>
      </c>
      <c r="L37" s="21">
        <f>IF(D37="","",IF(M37&lt;Panel!$E$6,"Pasado",IF(D37&lt;=Panel!$E$6,"En curso",IF(D37-Panel!$E$6&lt;=Panel!$G$6,"Próximo","Pendiente"))))</f>
        <v/>
      </c>
      <c r="M37" s="27">
        <f>IF(D37="","",IF(E37="",D37,MAX(D37,E37)))</f>
        <v/>
      </c>
      <c r="N37" s="28">
        <f>IF(D37="","",IF(M37&lt;Panel!$E$6,"",D37+ROW()/100000))</f>
        <v/>
      </c>
      <c r="O37" s="28">
        <f>IF(AND(N37&lt;&gt;"",C37="Evaluación"),N37,"")</f>
        <v/>
      </c>
      <c r="P37" s="28">
        <f>IF(AND(N37&lt;&gt;"",I37="Sí"),N37,"")</f>
        <v/>
      </c>
    </row>
    <row r="38">
      <c r="B38" s="26" t="n"/>
      <c r="C38" s="5" t="n"/>
      <c r="D38" s="6" t="n"/>
      <c r="E38" s="6" t="n"/>
      <c r="F38" s="5" t="n"/>
      <c r="G38" s="22">
        <f>IF(D38="","",M38-D38+1)</f>
        <v/>
      </c>
      <c r="H38" s="21">
        <f>IF(D38="","",MID("LunMarMiéJueVieSábDom",(WEEKDAY(D38,2)-1)*3+1,3))</f>
        <v/>
      </c>
      <c r="I38" s="21">
        <f>IF(OR(D38="",C38=""),"",IF(IFERROR(VLOOKUP(C38,Listas!$A$2:$B$9,2,0),0)=1,"Sí","No"))</f>
        <v/>
      </c>
      <c r="J38" s="22">
        <f>IF(I38="Sí",COUNTIFS(Días!$B$8:$B$317,"&gt;="&amp;D38,Días!$B$8:$B$317,"&lt;="&amp;M38,Días!$D$8:$D$317,1),IF(I38="","",0))</f>
        <v/>
      </c>
      <c r="K38" s="22">
        <f>IF(D38="","",IF(M38&lt;Panel!$E$6,"",MAX(0,D38-Panel!$E$6)))</f>
        <v/>
      </c>
      <c r="L38" s="21">
        <f>IF(D38="","",IF(M38&lt;Panel!$E$6,"Pasado",IF(D38&lt;=Panel!$E$6,"En curso",IF(D38-Panel!$E$6&lt;=Panel!$G$6,"Próximo","Pendiente"))))</f>
        <v/>
      </c>
      <c r="M38" s="27">
        <f>IF(D38="","",IF(E38="",D38,MAX(D38,E38)))</f>
        <v/>
      </c>
      <c r="N38" s="28">
        <f>IF(D38="","",IF(M38&lt;Panel!$E$6,"",D38+ROW()/100000))</f>
        <v/>
      </c>
      <c r="O38" s="28">
        <f>IF(AND(N38&lt;&gt;"",C38="Evaluación"),N38,"")</f>
        <v/>
      </c>
      <c r="P38" s="28">
        <f>IF(AND(N38&lt;&gt;"",I38="Sí"),N38,"")</f>
        <v/>
      </c>
    </row>
    <row r="39">
      <c r="B39" s="26" t="n"/>
      <c r="C39" s="5" t="n"/>
      <c r="D39" s="6" t="n"/>
      <c r="E39" s="6" t="n"/>
      <c r="F39" s="5" t="n"/>
      <c r="G39" s="22">
        <f>IF(D39="","",M39-D39+1)</f>
        <v/>
      </c>
      <c r="H39" s="21">
        <f>IF(D39="","",MID("LunMarMiéJueVieSábDom",(WEEKDAY(D39,2)-1)*3+1,3))</f>
        <v/>
      </c>
      <c r="I39" s="21">
        <f>IF(OR(D39="",C39=""),"",IF(IFERROR(VLOOKUP(C39,Listas!$A$2:$B$9,2,0),0)=1,"Sí","No"))</f>
        <v/>
      </c>
      <c r="J39" s="22">
        <f>IF(I39="Sí",COUNTIFS(Días!$B$8:$B$317,"&gt;="&amp;D39,Días!$B$8:$B$317,"&lt;="&amp;M39,Días!$D$8:$D$317,1),IF(I39="","",0))</f>
        <v/>
      </c>
      <c r="K39" s="22">
        <f>IF(D39="","",IF(M39&lt;Panel!$E$6,"",MAX(0,D39-Panel!$E$6)))</f>
        <v/>
      </c>
      <c r="L39" s="21">
        <f>IF(D39="","",IF(M39&lt;Panel!$E$6,"Pasado",IF(D39&lt;=Panel!$E$6,"En curso",IF(D39-Panel!$E$6&lt;=Panel!$G$6,"Próximo","Pendiente"))))</f>
        <v/>
      </c>
      <c r="M39" s="27">
        <f>IF(D39="","",IF(E39="",D39,MAX(D39,E39)))</f>
        <v/>
      </c>
      <c r="N39" s="28">
        <f>IF(D39="","",IF(M39&lt;Panel!$E$6,"",D39+ROW()/100000))</f>
        <v/>
      </c>
      <c r="O39" s="28">
        <f>IF(AND(N39&lt;&gt;"",C39="Evaluación"),N39,"")</f>
        <v/>
      </c>
      <c r="P39" s="28">
        <f>IF(AND(N39&lt;&gt;"",I39="Sí"),N39,"")</f>
        <v/>
      </c>
    </row>
    <row r="40">
      <c r="B40" s="26" t="n"/>
      <c r="C40" s="5" t="n"/>
      <c r="D40" s="6" t="n"/>
      <c r="E40" s="6" t="n"/>
      <c r="F40" s="5" t="n"/>
      <c r="G40" s="22">
        <f>IF(D40="","",M40-D40+1)</f>
        <v/>
      </c>
      <c r="H40" s="21">
        <f>IF(D40="","",MID("LunMarMiéJueVieSábDom",(WEEKDAY(D40,2)-1)*3+1,3))</f>
        <v/>
      </c>
      <c r="I40" s="21">
        <f>IF(OR(D40="",C40=""),"",IF(IFERROR(VLOOKUP(C40,Listas!$A$2:$B$9,2,0),0)=1,"Sí","No"))</f>
        <v/>
      </c>
      <c r="J40" s="22">
        <f>IF(I40="Sí",COUNTIFS(Días!$B$8:$B$317,"&gt;="&amp;D40,Días!$B$8:$B$317,"&lt;="&amp;M40,Días!$D$8:$D$317,1),IF(I40="","",0))</f>
        <v/>
      </c>
      <c r="K40" s="22">
        <f>IF(D40="","",IF(M40&lt;Panel!$E$6,"",MAX(0,D40-Panel!$E$6)))</f>
        <v/>
      </c>
      <c r="L40" s="21">
        <f>IF(D40="","",IF(M40&lt;Panel!$E$6,"Pasado",IF(D40&lt;=Panel!$E$6,"En curso",IF(D40-Panel!$E$6&lt;=Panel!$G$6,"Próximo","Pendiente"))))</f>
        <v/>
      </c>
      <c r="M40" s="27">
        <f>IF(D40="","",IF(E40="",D40,MAX(D40,E40)))</f>
        <v/>
      </c>
      <c r="N40" s="28">
        <f>IF(D40="","",IF(M40&lt;Panel!$E$6,"",D40+ROW()/100000))</f>
        <v/>
      </c>
      <c r="O40" s="28">
        <f>IF(AND(N40&lt;&gt;"",C40="Evaluación"),N40,"")</f>
        <v/>
      </c>
      <c r="P40" s="28">
        <f>IF(AND(N40&lt;&gt;"",I40="Sí"),N40,"")</f>
        <v/>
      </c>
    </row>
    <row r="41">
      <c r="B41" s="26" t="n"/>
      <c r="C41" s="5" t="n"/>
      <c r="D41" s="6" t="n"/>
      <c r="E41" s="6" t="n"/>
      <c r="F41" s="5" t="n"/>
      <c r="G41" s="22">
        <f>IF(D41="","",M41-D41+1)</f>
        <v/>
      </c>
      <c r="H41" s="21">
        <f>IF(D41="","",MID("LunMarMiéJueVieSábDom",(WEEKDAY(D41,2)-1)*3+1,3))</f>
        <v/>
      </c>
      <c r="I41" s="21">
        <f>IF(OR(D41="",C41=""),"",IF(IFERROR(VLOOKUP(C41,Listas!$A$2:$B$9,2,0),0)=1,"Sí","No"))</f>
        <v/>
      </c>
      <c r="J41" s="22">
        <f>IF(I41="Sí",COUNTIFS(Días!$B$8:$B$317,"&gt;="&amp;D41,Días!$B$8:$B$317,"&lt;="&amp;M41,Días!$D$8:$D$317,1),IF(I41="","",0))</f>
        <v/>
      </c>
      <c r="K41" s="22">
        <f>IF(D41="","",IF(M41&lt;Panel!$E$6,"",MAX(0,D41-Panel!$E$6)))</f>
        <v/>
      </c>
      <c r="L41" s="21">
        <f>IF(D41="","",IF(M41&lt;Panel!$E$6,"Pasado",IF(D41&lt;=Panel!$E$6,"En curso",IF(D41-Panel!$E$6&lt;=Panel!$G$6,"Próximo","Pendiente"))))</f>
        <v/>
      </c>
      <c r="M41" s="27">
        <f>IF(D41="","",IF(E41="",D41,MAX(D41,E41)))</f>
        <v/>
      </c>
      <c r="N41" s="28">
        <f>IF(D41="","",IF(M41&lt;Panel!$E$6,"",D41+ROW()/100000))</f>
        <v/>
      </c>
      <c r="O41" s="28">
        <f>IF(AND(N41&lt;&gt;"",C41="Evaluación"),N41,"")</f>
        <v/>
      </c>
      <c r="P41" s="28">
        <f>IF(AND(N41&lt;&gt;"",I41="Sí"),N41,"")</f>
        <v/>
      </c>
    </row>
    <row r="42">
      <c r="B42" s="26" t="n"/>
      <c r="C42" s="5" t="n"/>
      <c r="D42" s="6" t="n"/>
      <c r="E42" s="6" t="n"/>
      <c r="F42" s="5" t="n"/>
      <c r="G42" s="22">
        <f>IF(D42="","",M42-D42+1)</f>
        <v/>
      </c>
      <c r="H42" s="21">
        <f>IF(D42="","",MID("LunMarMiéJueVieSábDom",(WEEKDAY(D42,2)-1)*3+1,3))</f>
        <v/>
      </c>
      <c r="I42" s="21">
        <f>IF(OR(D42="",C42=""),"",IF(IFERROR(VLOOKUP(C42,Listas!$A$2:$B$9,2,0),0)=1,"Sí","No"))</f>
        <v/>
      </c>
      <c r="J42" s="22">
        <f>IF(I42="Sí",COUNTIFS(Días!$B$8:$B$317,"&gt;="&amp;D42,Días!$B$8:$B$317,"&lt;="&amp;M42,Días!$D$8:$D$317,1),IF(I42="","",0))</f>
        <v/>
      </c>
      <c r="K42" s="22">
        <f>IF(D42="","",IF(M42&lt;Panel!$E$6,"",MAX(0,D42-Panel!$E$6)))</f>
        <v/>
      </c>
      <c r="L42" s="21">
        <f>IF(D42="","",IF(M42&lt;Panel!$E$6,"Pasado",IF(D42&lt;=Panel!$E$6,"En curso",IF(D42-Panel!$E$6&lt;=Panel!$G$6,"Próximo","Pendiente"))))</f>
        <v/>
      </c>
      <c r="M42" s="27">
        <f>IF(D42="","",IF(E42="",D42,MAX(D42,E42)))</f>
        <v/>
      </c>
      <c r="N42" s="28">
        <f>IF(D42="","",IF(M42&lt;Panel!$E$6,"",D42+ROW()/100000))</f>
        <v/>
      </c>
      <c r="O42" s="28">
        <f>IF(AND(N42&lt;&gt;"",C42="Evaluación"),N42,"")</f>
        <v/>
      </c>
      <c r="P42" s="28">
        <f>IF(AND(N42&lt;&gt;"",I42="Sí"),N42,"")</f>
        <v/>
      </c>
    </row>
    <row r="43">
      <c r="B43" s="26" t="n"/>
      <c r="C43" s="5" t="n"/>
      <c r="D43" s="6" t="n"/>
      <c r="E43" s="6" t="n"/>
      <c r="F43" s="5" t="n"/>
      <c r="G43" s="22">
        <f>IF(D43="","",M43-D43+1)</f>
        <v/>
      </c>
      <c r="H43" s="21">
        <f>IF(D43="","",MID("LunMarMiéJueVieSábDom",(WEEKDAY(D43,2)-1)*3+1,3))</f>
        <v/>
      </c>
      <c r="I43" s="21">
        <f>IF(OR(D43="",C43=""),"",IF(IFERROR(VLOOKUP(C43,Listas!$A$2:$B$9,2,0),0)=1,"Sí","No"))</f>
        <v/>
      </c>
      <c r="J43" s="22">
        <f>IF(I43="Sí",COUNTIFS(Días!$B$8:$B$317,"&gt;="&amp;D43,Días!$B$8:$B$317,"&lt;="&amp;M43,Días!$D$8:$D$317,1),IF(I43="","",0))</f>
        <v/>
      </c>
      <c r="K43" s="22">
        <f>IF(D43="","",IF(M43&lt;Panel!$E$6,"",MAX(0,D43-Panel!$E$6)))</f>
        <v/>
      </c>
      <c r="L43" s="21">
        <f>IF(D43="","",IF(M43&lt;Panel!$E$6,"Pasado",IF(D43&lt;=Panel!$E$6,"En curso",IF(D43-Panel!$E$6&lt;=Panel!$G$6,"Próximo","Pendiente"))))</f>
        <v/>
      </c>
      <c r="M43" s="27">
        <f>IF(D43="","",IF(E43="",D43,MAX(D43,E43)))</f>
        <v/>
      </c>
      <c r="N43" s="28">
        <f>IF(D43="","",IF(M43&lt;Panel!$E$6,"",D43+ROW()/100000))</f>
        <v/>
      </c>
      <c r="O43" s="28">
        <f>IF(AND(N43&lt;&gt;"",C43="Evaluación"),N43,"")</f>
        <v/>
      </c>
      <c r="P43" s="28">
        <f>IF(AND(N43&lt;&gt;"",I43="Sí"),N43,"")</f>
        <v/>
      </c>
    </row>
    <row r="44">
      <c r="B44" s="26" t="n"/>
      <c r="C44" s="5" t="n"/>
      <c r="D44" s="6" t="n"/>
      <c r="E44" s="6" t="n"/>
      <c r="F44" s="5" t="n"/>
      <c r="G44" s="22">
        <f>IF(D44="","",M44-D44+1)</f>
        <v/>
      </c>
      <c r="H44" s="21">
        <f>IF(D44="","",MID("LunMarMiéJueVieSábDom",(WEEKDAY(D44,2)-1)*3+1,3))</f>
        <v/>
      </c>
      <c r="I44" s="21">
        <f>IF(OR(D44="",C44=""),"",IF(IFERROR(VLOOKUP(C44,Listas!$A$2:$B$9,2,0),0)=1,"Sí","No"))</f>
        <v/>
      </c>
      <c r="J44" s="22">
        <f>IF(I44="Sí",COUNTIFS(Días!$B$8:$B$317,"&gt;="&amp;D44,Días!$B$8:$B$317,"&lt;="&amp;M44,Días!$D$8:$D$317,1),IF(I44="","",0))</f>
        <v/>
      </c>
      <c r="K44" s="22">
        <f>IF(D44="","",IF(M44&lt;Panel!$E$6,"",MAX(0,D44-Panel!$E$6)))</f>
        <v/>
      </c>
      <c r="L44" s="21">
        <f>IF(D44="","",IF(M44&lt;Panel!$E$6,"Pasado",IF(D44&lt;=Panel!$E$6,"En curso",IF(D44-Panel!$E$6&lt;=Panel!$G$6,"Próximo","Pendiente"))))</f>
        <v/>
      </c>
      <c r="M44" s="27">
        <f>IF(D44="","",IF(E44="",D44,MAX(D44,E44)))</f>
        <v/>
      </c>
      <c r="N44" s="28">
        <f>IF(D44="","",IF(M44&lt;Panel!$E$6,"",D44+ROW()/100000))</f>
        <v/>
      </c>
      <c r="O44" s="28">
        <f>IF(AND(N44&lt;&gt;"",C44="Evaluación"),N44,"")</f>
        <v/>
      </c>
      <c r="P44" s="28">
        <f>IF(AND(N44&lt;&gt;"",I44="Sí"),N44,"")</f>
        <v/>
      </c>
    </row>
    <row r="45">
      <c r="B45" s="26" t="n"/>
      <c r="C45" s="5" t="n"/>
      <c r="D45" s="6" t="n"/>
      <c r="E45" s="6" t="n"/>
      <c r="F45" s="5" t="n"/>
      <c r="G45" s="22">
        <f>IF(D45="","",M45-D45+1)</f>
        <v/>
      </c>
      <c r="H45" s="21">
        <f>IF(D45="","",MID("LunMarMiéJueVieSábDom",(WEEKDAY(D45,2)-1)*3+1,3))</f>
        <v/>
      </c>
      <c r="I45" s="21">
        <f>IF(OR(D45="",C45=""),"",IF(IFERROR(VLOOKUP(C45,Listas!$A$2:$B$9,2,0),0)=1,"Sí","No"))</f>
        <v/>
      </c>
      <c r="J45" s="22">
        <f>IF(I45="Sí",COUNTIFS(Días!$B$8:$B$317,"&gt;="&amp;D45,Días!$B$8:$B$317,"&lt;="&amp;M45,Días!$D$8:$D$317,1),IF(I45="","",0))</f>
        <v/>
      </c>
      <c r="K45" s="22">
        <f>IF(D45="","",IF(M45&lt;Panel!$E$6,"",MAX(0,D45-Panel!$E$6)))</f>
        <v/>
      </c>
      <c r="L45" s="21">
        <f>IF(D45="","",IF(M45&lt;Panel!$E$6,"Pasado",IF(D45&lt;=Panel!$E$6,"En curso",IF(D45-Panel!$E$6&lt;=Panel!$G$6,"Próximo","Pendiente"))))</f>
        <v/>
      </c>
      <c r="M45" s="27">
        <f>IF(D45="","",IF(E45="",D45,MAX(D45,E45)))</f>
        <v/>
      </c>
      <c r="N45" s="28">
        <f>IF(D45="","",IF(M45&lt;Panel!$E$6,"",D45+ROW()/100000))</f>
        <v/>
      </c>
      <c r="O45" s="28">
        <f>IF(AND(N45&lt;&gt;"",C45="Evaluación"),N45,"")</f>
        <v/>
      </c>
      <c r="P45" s="28">
        <f>IF(AND(N45&lt;&gt;"",I45="Sí"),N45,"")</f>
        <v/>
      </c>
    </row>
    <row r="46">
      <c r="B46" s="26" t="n"/>
      <c r="C46" s="5" t="n"/>
      <c r="D46" s="6" t="n"/>
      <c r="E46" s="6" t="n"/>
      <c r="F46" s="5" t="n"/>
      <c r="G46" s="22">
        <f>IF(D46="","",M46-D46+1)</f>
        <v/>
      </c>
      <c r="H46" s="21">
        <f>IF(D46="","",MID("LunMarMiéJueVieSábDom",(WEEKDAY(D46,2)-1)*3+1,3))</f>
        <v/>
      </c>
      <c r="I46" s="21">
        <f>IF(OR(D46="",C46=""),"",IF(IFERROR(VLOOKUP(C46,Listas!$A$2:$B$9,2,0),0)=1,"Sí","No"))</f>
        <v/>
      </c>
      <c r="J46" s="22">
        <f>IF(I46="Sí",COUNTIFS(Días!$B$8:$B$317,"&gt;="&amp;D46,Días!$B$8:$B$317,"&lt;="&amp;M46,Días!$D$8:$D$317,1),IF(I46="","",0))</f>
        <v/>
      </c>
      <c r="K46" s="22">
        <f>IF(D46="","",IF(M46&lt;Panel!$E$6,"",MAX(0,D46-Panel!$E$6)))</f>
        <v/>
      </c>
      <c r="L46" s="21">
        <f>IF(D46="","",IF(M46&lt;Panel!$E$6,"Pasado",IF(D46&lt;=Panel!$E$6,"En curso",IF(D46-Panel!$E$6&lt;=Panel!$G$6,"Próximo","Pendiente"))))</f>
        <v/>
      </c>
      <c r="M46" s="27">
        <f>IF(D46="","",IF(E46="",D46,MAX(D46,E46)))</f>
        <v/>
      </c>
      <c r="N46" s="28">
        <f>IF(D46="","",IF(M46&lt;Panel!$E$6,"",D46+ROW()/100000))</f>
        <v/>
      </c>
      <c r="O46" s="28">
        <f>IF(AND(N46&lt;&gt;"",C46="Evaluación"),N46,"")</f>
        <v/>
      </c>
      <c r="P46" s="28">
        <f>IF(AND(N46&lt;&gt;"",I46="Sí"),N46,"")</f>
        <v/>
      </c>
    </row>
    <row r="47">
      <c r="B47" s="26" t="n"/>
      <c r="C47" s="5" t="n"/>
      <c r="D47" s="6" t="n"/>
      <c r="E47" s="6" t="n"/>
      <c r="F47" s="5" t="n"/>
      <c r="G47" s="22">
        <f>IF(D47="","",M47-D47+1)</f>
        <v/>
      </c>
      <c r="H47" s="21">
        <f>IF(D47="","",MID("LunMarMiéJueVieSábDom",(WEEKDAY(D47,2)-1)*3+1,3))</f>
        <v/>
      </c>
      <c r="I47" s="21">
        <f>IF(OR(D47="",C47=""),"",IF(IFERROR(VLOOKUP(C47,Listas!$A$2:$B$9,2,0),0)=1,"Sí","No"))</f>
        <v/>
      </c>
      <c r="J47" s="22">
        <f>IF(I47="Sí",COUNTIFS(Días!$B$8:$B$317,"&gt;="&amp;D47,Días!$B$8:$B$317,"&lt;="&amp;M47,Días!$D$8:$D$317,1),IF(I47="","",0))</f>
        <v/>
      </c>
      <c r="K47" s="22">
        <f>IF(D47="","",IF(M47&lt;Panel!$E$6,"",MAX(0,D47-Panel!$E$6)))</f>
        <v/>
      </c>
      <c r="L47" s="21">
        <f>IF(D47="","",IF(M47&lt;Panel!$E$6,"Pasado",IF(D47&lt;=Panel!$E$6,"En curso",IF(D47-Panel!$E$6&lt;=Panel!$G$6,"Próximo","Pendiente"))))</f>
        <v/>
      </c>
      <c r="M47" s="27">
        <f>IF(D47="","",IF(E47="",D47,MAX(D47,E47)))</f>
        <v/>
      </c>
      <c r="N47" s="28">
        <f>IF(D47="","",IF(M47&lt;Panel!$E$6,"",D47+ROW()/100000))</f>
        <v/>
      </c>
      <c r="O47" s="28">
        <f>IF(AND(N47&lt;&gt;"",C47="Evaluación"),N47,"")</f>
        <v/>
      </c>
      <c r="P47" s="28">
        <f>IF(AND(N47&lt;&gt;"",I47="Sí"),N47,"")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B8:L47">
    <cfRule type="expression" priority="1" dxfId="0">
      <formula>$L8="En curso"</formula>
    </cfRule>
    <cfRule type="expression" priority="2" dxfId="1">
      <formula>$L8="Próximo"</formula>
    </cfRule>
    <cfRule type="expression" priority="3" dxfId="2">
      <formula>$L8="Pasado"</formula>
    </cfRule>
  </conditionalFormatting>
  <conditionalFormatting sqref="C8:C47">
    <cfRule type="expression" priority="4" dxfId="0">
      <formula>$I8="Sí"</formula>
    </cfRule>
    <cfRule type="cellIs" priority="5" operator="equal" dxfId="3">
      <formula>"Evaluación"</formula>
    </cfRule>
  </conditionalFormatting>
  <dataValidations count="2">
    <dataValidation sqref="C8:C47" showDropDown="0" showInputMessage="0" showErrorMessage="0" allowBlank="1" type="list">
      <formula1>=Listas!$A$2:$A$9</formula1>
    </dataValidation>
    <dataValidation sqref="D8:E47" showDropDown="0" showInputMessage="0" showErrorMessage="1" allowBlank="1" errorTitle="Fecha" error="Escribe una fecha válida, por ejemplo 12/10/2026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2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3" customWidth="1" min="3" max="3"/>
    <col width="13" customWidth="1" min="4" max="4"/>
    <col width="12" customWidth="1" min="5" max="5"/>
    <col width="13" customWidth="1" min="6" max="6"/>
    <col width="13" customWidth="1" min="7" max="7"/>
    <col width="11" customWidth="1" min="8" max="8"/>
    <col width="12" customWidth="1" min="9" max="9"/>
    <col width="12" customWidth="1" min="10" max="10"/>
    <col width="12" customWidth="1" min="11" max="11"/>
  </cols>
  <sheetData>
    <row r="2" ht="34" customHeight="1">
      <c r="B2" s="1" t="inlineStr">
        <is>
          <t>Días lectivos por mes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Diez meses de curso desde el mes de inicio: días de clase, días sin clase y eventos de cada mes.</t>
        </is>
      </c>
    </row>
    <row r="7" ht="46" customHeight="1">
      <c r="B7" s="14" t="inlineStr">
        <is>
          <t>Mes</t>
        </is>
      </c>
      <c r="C7" s="14" t="inlineStr">
        <is>
          <t>Primer día</t>
        </is>
      </c>
      <c r="D7" s="14" t="inlineStr">
        <is>
          <t>Lunes a viernes del curso</t>
        </is>
      </c>
      <c r="E7" s="14" t="inlineStr">
        <is>
          <t>Días sin clase</t>
        </is>
      </c>
      <c r="F7" s="14" t="inlineStr">
        <is>
          <t>Días lectivos</t>
        </is>
      </c>
      <c r="G7" s="14" t="inlineStr">
        <is>
          <t>Lectivos ya pasados</t>
        </is>
      </c>
      <c r="H7" s="14" t="inlineStr">
        <is>
          <t>Eventos</t>
        </is>
      </c>
      <c r="I7" s="14" t="inlineStr">
        <is>
          <t>Evaluaciones</t>
        </is>
      </c>
      <c r="J7" s="14" t="inlineStr">
        <is>
          <t>Excursiones</t>
        </is>
      </c>
      <c r="K7" s="14" t="inlineStr">
        <is>
          <t>Estado</t>
        </is>
      </c>
    </row>
    <row r="8">
      <c r="B8" s="29">
        <f>INDEX(Listas!$C$2:$C$13,MONTH(C8))&amp;" "&amp;YEAR(C8)</f>
        <v/>
      </c>
      <c r="C8" s="19">
        <f>DATE(YEAR(Panel!$E$5),MONTH(Panel!$E$5),1)</f>
        <v/>
      </c>
      <c r="D8" s="22">
        <f>SUMIFS(Días!$D$8:$D$317,Días!$G$8:$G$317,C8)</f>
        <v/>
      </c>
      <c r="E8" s="22">
        <f>SUMIFS(Días!$E$8:$E$317,Días!$G$8:$G$317,C8)</f>
        <v/>
      </c>
      <c r="F8" s="20">
        <f>SUMIFS(Días!$F$8:$F$317,Días!$G$8:$G$317,C8)</f>
        <v/>
      </c>
      <c r="G8" s="22">
        <f>SUMIFS(Días!$F$8:$F$317,Días!$G$8:$G$317,C8,Días!$B$8:$B$317,"&lt;"&amp;Panel!$E$6)</f>
        <v/>
      </c>
      <c r="H8" s="22">
        <f>COUNTIFS(Eventos!$D$8:$D$47,"&gt;="&amp;C8,Eventos!$D$8:$D$47,"&lt;"&amp;EDATE(C8,1))</f>
        <v/>
      </c>
      <c r="I8" s="22">
        <f>COUNTIFS(Eventos!$D$8:$D$47,"&gt;="&amp;C8,Eventos!$D$8:$D$47,"&lt;"&amp;EDATE(C8,1),Eventos!$C$8:$C$47,"Evaluación")</f>
        <v/>
      </c>
      <c r="J8" s="22">
        <f>COUNTIFS(Eventos!$D$8:$D$47,"&gt;="&amp;C8,Eventos!$D$8:$D$47,"&lt;"&amp;EDATE(C8,1),Eventos!$C$8:$C$47,"Excursión")</f>
        <v/>
      </c>
      <c r="K8" s="21">
        <f>IF(EDATE(C8,1)&lt;=Panel!$E$6,"Cerrado",IF(C8&lt;=Panel!$E$6,"En curso","Por venir"))</f>
        <v/>
      </c>
    </row>
    <row r="9">
      <c r="B9" s="29">
        <f>INDEX(Listas!$C$2:$C$13,MONTH(C9))&amp;" "&amp;YEAR(C9)</f>
        <v/>
      </c>
      <c r="C9" s="19">
        <f>EDATE(C8,1)</f>
        <v/>
      </c>
      <c r="D9" s="22">
        <f>SUMIFS(Días!$D$8:$D$317,Días!$G$8:$G$317,C9)</f>
        <v/>
      </c>
      <c r="E9" s="22">
        <f>SUMIFS(Días!$E$8:$E$317,Días!$G$8:$G$317,C9)</f>
        <v/>
      </c>
      <c r="F9" s="20">
        <f>SUMIFS(Días!$F$8:$F$317,Días!$G$8:$G$317,C9)</f>
        <v/>
      </c>
      <c r="G9" s="22">
        <f>SUMIFS(Días!$F$8:$F$317,Días!$G$8:$G$317,C9,Días!$B$8:$B$317,"&lt;"&amp;Panel!$E$6)</f>
        <v/>
      </c>
      <c r="H9" s="22">
        <f>COUNTIFS(Eventos!$D$8:$D$47,"&gt;="&amp;C9,Eventos!$D$8:$D$47,"&lt;"&amp;EDATE(C9,1))</f>
        <v/>
      </c>
      <c r="I9" s="22">
        <f>COUNTIFS(Eventos!$D$8:$D$47,"&gt;="&amp;C9,Eventos!$D$8:$D$47,"&lt;"&amp;EDATE(C9,1),Eventos!$C$8:$C$47,"Evaluación")</f>
        <v/>
      </c>
      <c r="J9" s="22">
        <f>COUNTIFS(Eventos!$D$8:$D$47,"&gt;="&amp;C9,Eventos!$D$8:$D$47,"&lt;"&amp;EDATE(C9,1),Eventos!$C$8:$C$47,"Excursión")</f>
        <v/>
      </c>
      <c r="K9" s="21">
        <f>IF(EDATE(C9,1)&lt;=Panel!$E$6,"Cerrado",IF(C9&lt;=Panel!$E$6,"En curso","Por venir"))</f>
        <v/>
      </c>
    </row>
    <row r="10">
      <c r="B10" s="29">
        <f>INDEX(Listas!$C$2:$C$13,MONTH(C10))&amp;" "&amp;YEAR(C10)</f>
        <v/>
      </c>
      <c r="C10" s="19">
        <f>EDATE(C9,1)</f>
        <v/>
      </c>
      <c r="D10" s="22">
        <f>SUMIFS(Días!$D$8:$D$317,Días!$G$8:$G$317,C10)</f>
        <v/>
      </c>
      <c r="E10" s="22">
        <f>SUMIFS(Días!$E$8:$E$317,Días!$G$8:$G$317,C10)</f>
        <v/>
      </c>
      <c r="F10" s="20">
        <f>SUMIFS(Días!$F$8:$F$317,Días!$G$8:$G$317,C10)</f>
        <v/>
      </c>
      <c r="G10" s="22">
        <f>SUMIFS(Días!$F$8:$F$317,Días!$G$8:$G$317,C10,Días!$B$8:$B$317,"&lt;"&amp;Panel!$E$6)</f>
        <v/>
      </c>
      <c r="H10" s="22">
        <f>COUNTIFS(Eventos!$D$8:$D$47,"&gt;="&amp;C10,Eventos!$D$8:$D$47,"&lt;"&amp;EDATE(C10,1))</f>
        <v/>
      </c>
      <c r="I10" s="22">
        <f>COUNTIFS(Eventos!$D$8:$D$47,"&gt;="&amp;C10,Eventos!$D$8:$D$47,"&lt;"&amp;EDATE(C10,1),Eventos!$C$8:$C$47,"Evaluación")</f>
        <v/>
      </c>
      <c r="J10" s="22">
        <f>COUNTIFS(Eventos!$D$8:$D$47,"&gt;="&amp;C10,Eventos!$D$8:$D$47,"&lt;"&amp;EDATE(C10,1),Eventos!$C$8:$C$47,"Excursión")</f>
        <v/>
      </c>
      <c r="K10" s="21">
        <f>IF(EDATE(C10,1)&lt;=Panel!$E$6,"Cerrado",IF(C10&lt;=Panel!$E$6,"En curso","Por venir"))</f>
        <v/>
      </c>
    </row>
    <row r="11">
      <c r="B11" s="29">
        <f>INDEX(Listas!$C$2:$C$13,MONTH(C11))&amp;" "&amp;YEAR(C11)</f>
        <v/>
      </c>
      <c r="C11" s="19">
        <f>EDATE(C10,1)</f>
        <v/>
      </c>
      <c r="D11" s="22">
        <f>SUMIFS(Días!$D$8:$D$317,Días!$G$8:$G$317,C11)</f>
        <v/>
      </c>
      <c r="E11" s="22">
        <f>SUMIFS(Días!$E$8:$E$317,Días!$G$8:$G$317,C11)</f>
        <v/>
      </c>
      <c r="F11" s="20">
        <f>SUMIFS(Días!$F$8:$F$317,Días!$G$8:$G$317,C11)</f>
        <v/>
      </c>
      <c r="G11" s="22">
        <f>SUMIFS(Días!$F$8:$F$317,Días!$G$8:$G$317,C11,Días!$B$8:$B$317,"&lt;"&amp;Panel!$E$6)</f>
        <v/>
      </c>
      <c r="H11" s="22">
        <f>COUNTIFS(Eventos!$D$8:$D$47,"&gt;="&amp;C11,Eventos!$D$8:$D$47,"&lt;"&amp;EDATE(C11,1))</f>
        <v/>
      </c>
      <c r="I11" s="22">
        <f>COUNTIFS(Eventos!$D$8:$D$47,"&gt;="&amp;C11,Eventos!$D$8:$D$47,"&lt;"&amp;EDATE(C11,1),Eventos!$C$8:$C$47,"Evaluación")</f>
        <v/>
      </c>
      <c r="J11" s="22">
        <f>COUNTIFS(Eventos!$D$8:$D$47,"&gt;="&amp;C11,Eventos!$D$8:$D$47,"&lt;"&amp;EDATE(C11,1),Eventos!$C$8:$C$47,"Excursión")</f>
        <v/>
      </c>
      <c r="K11" s="21">
        <f>IF(EDATE(C11,1)&lt;=Panel!$E$6,"Cerrado",IF(C11&lt;=Panel!$E$6,"En curso","Por venir"))</f>
        <v/>
      </c>
    </row>
    <row r="12">
      <c r="B12" s="29">
        <f>INDEX(Listas!$C$2:$C$13,MONTH(C12))&amp;" "&amp;YEAR(C12)</f>
        <v/>
      </c>
      <c r="C12" s="19">
        <f>EDATE(C11,1)</f>
        <v/>
      </c>
      <c r="D12" s="22">
        <f>SUMIFS(Días!$D$8:$D$317,Días!$G$8:$G$317,C12)</f>
        <v/>
      </c>
      <c r="E12" s="22">
        <f>SUMIFS(Días!$E$8:$E$317,Días!$G$8:$G$317,C12)</f>
        <v/>
      </c>
      <c r="F12" s="20">
        <f>SUMIFS(Días!$F$8:$F$317,Días!$G$8:$G$317,C12)</f>
        <v/>
      </c>
      <c r="G12" s="22">
        <f>SUMIFS(Días!$F$8:$F$317,Días!$G$8:$G$317,C12,Días!$B$8:$B$317,"&lt;"&amp;Panel!$E$6)</f>
        <v/>
      </c>
      <c r="H12" s="22">
        <f>COUNTIFS(Eventos!$D$8:$D$47,"&gt;="&amp;C12,Eventos!$D$8:$D$47,"&lt;"&amp;EDATE(C12,1))</f>
        <v/>
      </c>
      <c r="I12" s="22">
        <f>COUNTIFS(Eventos!$D$8:$D$47,"&gt;="&amp;C12,Eventos!$D$8:$D$47,"&lt;"&amp;EDATE(C12,1),Eventos!$C$8:$C$47,"Evaluación")</f>
        <v/>
      </c>
      <c r="J12" s="22">
        <f>COUNTIFS(Eventos!$D$8:$D$47,"&gt;="&amp;C12,Eventos!$D$8:$D$47,"&lt;"&amp;EDATE(C12,1),Eventos!$C$8:$C$47,"Excursión")</f>
        <v/>
      </c>
      <c r="K12" s="21">
        <f>IF(EDATE(C12,1)&lt;=Panel!$E$6,"Cerrado",IF(C12&lt;=Panel!$E$6,"En curso","Por venir"))</f>
        <v/>
      </c>
    </row>
    <row r="13">
      <c r="B13" s="29">
        <f>INDEX(Listas!$C$2:$C$13,MONTH(C13))&amp;" "&amp;YEAR(C13)</f>
        <v/>
      </c>
      <c r="C13" s="19">
        <f>EDATE(C12,1)</f>
        <v/>
      </c>
      <c r="D13" s="22">
        <f>SUMIFS(Días!$D$8:$D$317,Días!$G$8:$G$317,C13)</f>
        <v/>
      </c>
      <c r="E13" s="22">
        <f>SUMIFS(Días!$E$8:$E$317,Días!$G$8:$G$317,C13)</f>
        <v/>
      </c>
      <c r="F13" s="20">
        <f>SUMIFS(Días!$F$8:$F$317,Días!$G$8:$G$317,C13)</f>
        <v/>
      </c>
      <c r="G13" s="22">
        <f>SUMIFS(Días!$F$8:$F$317,Días!$G$8:$G$317,C13,Días!$B$8:$B$317,"&lt;"&amp;Panel!$E$6)</f>
        <v/>
      </c>
      <c r="H13" s="22">
        <f>COUNTIFS(Eventos!$D$8:$D$47,"&gt;="&amp;C13,Eventos!$D$8:$D$47,"&lt;"&amp;EDATE(C13,1))</f>
        <v/>
      </c>
      <c r="I13" s="22">
        <f>COUNTIFS(Eventos!$D$8:$D$47,"&gt;="&amp;C13,Eventos!$D$8:$D$47,"&lt;"&amp;EDATE(C13,1),Eventos!$C$8:$C$47,"Evaluación")</f>
        <v/>
      </c>
      <c r="J13" s="22">
        <f>COUNTIFS(Eventos!$D$8:$D$47,"&gt;="&amp;C13,Eventos!$D$8:$D$47,"&lt;"&amp;EDATE(C13,1),Eventos!$C$8:$C$47,"Excursión")</f>
        <v/>
      </c>
      <c r="K13" s="21">
        <f>IF(EDATE(C13,1)&lt;=Panel!$E$6,"Cerrado",IF(C13&lt;=Panel!$E$6,"En curso","Por venir"))</f>
        <v/>
      </c>
    </row>
    <row r="14">
      <c r="B14" s="29">
        <f>INDEX(Listas!$C$2:$C$13,MONTH(C14))&amp;" "&amp;YEAR(C14)</f>
        <v/>
      </c>
      <c r="C14" s="19">
        <f>EDATE(C13,1)</f>
        <v/>
      </c>
      <c r="D14" s="22">
        <f>SUMIFS(Días!$D$8:$D$317,Días!$G$8:$G$317,C14)</f>
        <v/>
      </c>
      <c r="E14" s="22">
        <f>SUMIFS(Días!$E$8:$E$317,Días!$G$8:$G$317,C14)</f>
        <v/>
      </c>
      <c r="F14" s="20">
        <f>SUMIFS(Días!$F$8:$F$317,Días!$G$8:$G$317,C14)</f>
        <v/>
      </c>
      <c r="G14" s="22">
        <f>SUMIFS(Días!$F$8:$F$317,Días!$G$8:$G$317,C14,Días!$B$8:$B$317,"&lt;"&amp;Panel!$E$6)</f>
        <v/>
      </c>
      <c r="H14" s="22">
        <f>COUNTIFS(Eventos!$D$8:$D$47,"&gt;="&amp;C14,Eventos!$D$8:$D$47,"&lt;"&amp;EDATE(C14,1))</f>
        <v/>
      </c>
      <c r="I14" s="22">
        <f>COUNTIFS(Eventos!$D$8:$D$47,"&gt;="&amp;C14,Eventos!$D$8:$D$47,"&lt;"&amp;EDATE(C14,1),Eventos!$C$8:$C$47,"Evaluación")</f>
        <v/>
      </c>
      <c r="J14" s="22">
        <f>COUNTIFS(Eventos!$D$8:$D$47,"&gt;="&amp;C14,Eventos!$D$8:$D$47,"&lt;"&amp;EDATE(C14,1),Eventos!$C$8:$C$47,"Excursión")</f>
        <v/>
      </c>
      <c r="K14" s="21">
        <f>IF(EDATE(C14,1)&lt;=Panel!$E$6,"Cerrado",IF(C14&lt;=Panel!$E$6,"En curso","Por venir"))</f>
        <v/>
      </c>
    </row>
    <row r="15">
      <c r="B15" s="29">
        <f>INDEX(Listas!$C$2:$C$13,MONTH(C15))&amp;" "&amp;YEAR(C15)</f>
        <v/>
      </c>
      <c r="C15" s="19">
        <f>EDATE(C14,1)</f>
        <v/>
      </c>
      <c r="D15" s="22">
        <f>SUMIFS(Días!$D$8:$D$317,Días!$G$8:$G$317,C15)</f>
        <v/>
      </c>
      <c r="E15" s="22">
        <f>SUMIFS(Días!$E$8:$E$317,Días!$G$8:$G$317,C15)</f>
        <v/>
      </c>
      <c r="F15" s="20">
        <f>SUMIFS(Días!$F$8:$F$317,Días!$G$8:$G$317,C15)</f>
        <v/>
      </c>
      <c r="G15" s="22">
        <f>SUMIFS(Días!$F$8:$F$317,Días!$G$8:$G$317,C15,Días!$B$8:$B$317,"&lt;"&amp;Panel!$E$6)</f>
        <v/>
      </c>
      <c r="H15" s="22">
        <f>COUNTIFS(Eventos!$D$8:$D$47,"&gt;="&amp;C15,Eventos!$D$8:$D$47,"&lt;"&amp;EDATE(C15,1))</f>
        <v/>
      </c>
      <c r="I15" s="22">
        <f>COUNTIFS(Eventos!$D$8:$D$47,"&gt;="&amp;C15,Eventos!$D$8:$D$47,"&lt;"&amp;EDATE(C15,1),Eventos!$C$8:$C$47,"Evaluación")</f>
        <v/>
      </c>
      <c r="J15" s="22">
        <f>COUNTIFS(Eventos!$D$8:$D$47,"&gt;="&amp;C15,Eventos!$D$8:$D$47,"&lt;"&amp;EDATE(C15,1),Eventos!$C$8:$C$47,"Excursión")</f>
        <v/>
      </c>
      <c r="K15" s="21">
        <f>IF(EDATE(C15,1)&lt;=Panel!$E$6,"Cerrado",IF(C15&lt;=Panel!$E$6,"En curso","Por venir"))</f>
        <v/>
      </c>
    </row>
    <row r="16">
      <c r="B16" s="29">
        <f>INDEX(Listas!$C$2:$C$13,MONTH(C16))&amp;" "&amp;YEAR(C16)</f>
        <v/>
      </c>
      <c r="C16" s="19">
        <f>EDATE(C15,1)</f>
        <v/>
      </c>
      <c r="D16" s="22">
        <f>SUMIFS(Días!$D$8:$D$317,Días!$G$8:$G$317,C16)</f>
        <v/>
      </c>
      <c r="E16" s="22">
        <f>SUMIFS(Días!$E$8:$E$317,Días!$G$8:$G$317,C16)</f>
        <v/>
      </c>
      <c r="F16" s="20">
        <f>SUMIFS(Días!$F$8:$F$317,Días!$G$8:$G$317,C16)</f>
        <v/>
      </c>
      <c r="G16" s="22">
        <f>SUMIFS(Días!$F$8:$F$317,Días!$G$8:$G$317,C16,Días!$B$8:$B$317,"&lt;"&amp;Panel!$E$6)</f>
        <v/>
      </c>
      <c r="H16" s="22">
        <f>COUNTIFS(Eventos!$D$8:$D$47,"&gt;="&amp;C16,Eventos!$D$8:$D$47,"&lt;"&amp;EDATE(C16,1))</f>
        <v/>
      </c>
      <c r="I16" s="22">
        <f>COUNTIFS(Eventos!$D$8:$D$47,"&gt;="&amp;C16,Eventos!$D$8:$D$47,"&lt;"&amp;EDATE(C16,1),Eventos!$C$8:$C$47,"Evaluación")</f>
        <v/>
      </c>
      <c r="J16" s="22">
        <f>COUNTIFS(Eventos!$D$8:$D$47,"&gt;="&amp;C16,Eventos!$D$8:$D$47,"&lt;"&amp;EDATE(C16,1),Eventos!$C$8:$C$47,"Excursión")</f>
        <v/>
      </c>
      <c r="K16" s="21">
        <f>IF(EDATE(C16,1)&lt;=Panel!$E$6,"Cerrado",IF(C16&lt;=Panel!$E$6,"En curso","Por venir"))</f>
        <v/>
      </c>
    </row>
    <row r="17">
      <c r="B17" s="29">
        <f>INDEX(Listas!$C$2:$C$13,MONTH(C17))&amp;" "&amp;YEAR(C17)</f>
        <v/>
      </c>
      <c r="C17" s="19">
        <f>EDATE(C16,1)</f>
        <v/>
      </c>
      <c r="D17" s="22">
        <f>SUMIFS(Días!$D$8:$D$317,Días!$G$8:$G$317,C17)</f>
        <v/>
      </c>
      <c r="E17" s="22">
        <f>SUMIFS(Días!$E$8:$E$317,Días!$G$8:$G$317,C17)</f>
        <v/>
      </c>
      <c r="F17" s="20">
        <f>SUMIFS(Días!$F$8:$F$317,Días!$G$8:$G$317,C17)</f>
        <v/>
      </c>
      <c r="G17" s="22">
        <f>SUMIFS(Días!$F$8:$F$317,Días!$G$8:$G$317,C17,Días!$B$8:$B$317,"&lt;"&amp;Panel!$E$6)</f>
        <v/>
      </c>
      <c r="H17" s="22">
        <f>COUNTIFS(Eventos!$D$8:$D$47,"&gt;="&amp;C17,Eventos!$D$8:$D$47,"&lt;"&amp;EDATE(C17,1))</f>
        <v/>
      </c>
      <c r="I17" s="22">
        <f>COUNTIFS(Eventos!$D$8:$D$47,"&gt;="&amp;C17,Eventos!$D$8:$D$47,"&lt;"&amp;EDATE(C17,1),Eventos!$C$8:$C$47,"Evaluación")</f>
        <v/>
      </c>
      <c r="J17" s="22">
        <f>COUNTIFS(Eventos!$D$8:$D$47,"&gt;="&amp;C17,Eventos!$D$8:$D$47,"&lt;"&amp;EDATE(C17,1),Eventos!$C$8:$C$47,"Excursión")</f>
        <v/>
      </c>
      <c r="K17" s="21">
        <f>IF(EDATE(C17,1)&lt;=Panel!$E$6,"Cerrado",IF(C17&lt;=Panel!$E$6,"En curso","Por venir"))</f>
        <v/>
      </c>
    </row>
    <row r="18">
      <c r="B18" s="30" t="inlineStr">
        <is>
          <t>Total curso</t>
        </is>
      </c>
      <c r="C18" s="30" t="inlineStr"/>
      <c r="D18" s="31">
        <f>SUM(D8:D17)</f>
        <v/>
      </c>
      <c r="E18" s="31">
        <f>SUM(E8:E17)</f>
        <v/>
      </c>
      <c r="F18" s="31">
        <f>SUM(F8:F17)</f>
        <v/>
      </c>
      <c r="G18" s="31">
        <f>SUM(G8:G17)</f>
        <v/>
      </c>
      <c r="H18" s="31">
        <f>SUM(H8:H17)</f>
        <v/>
      </c>
      <c r="I18" s="31">
        <f>SUM(I8:I17)</f>
        <v/>
      </c>
      <c r="J18" s="31">
        <f>SUM(J8:J17)</f>
        <v/>
      </c>
      <c r="K18" s="30" t="inlineStr"/>
    </row>
    <row r="20">
      <c r="B20" s="24" t="inlineStr">
        <is>
          <t>Días lectivos = lunes a viernes entre el inicio y el fin de clases, menos los días cubiertos por eventos que restan día lectivo.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8:K17">
    <cfRule type="cellIs" priority="1" operator="equal" dxfId="1">
      <formula>"En curso"</formula>
    </cfRule>
    <cfRule type="cellIs" priority="2" operator="equal" dxfId="2">
      <formula>"Cerrado"</formula>
    </cfRule>
  </conditionalFormatting>
  <conditionalFormatting sqref="F8:F17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31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7" customWidth="1" min="3" max="3"/>
    <col width="14" customWidth="1" min="4" max="4"/>
    <col width="14" customWidth="1" min="5" max="5"/>
    <col width="12" customWidth="1" min="6" max="6"/>
    <col width="13" customWidth="1" min="7" max="7"/>
    <col width="11" customWidth="1" min="8" max="8"/>
  </cols>
  <sheetData>
    <row r="2" ht="34" customHeight="1">
      <c r="B2" s="1" t="inlineStr">
        <is>
          <t>Días del curso (cálculo)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Una fila por día natural desde el primer día del mes de inicio. Marca los días lectivos; no necesitas editarla.</t>
        </is>
      </c>
    </row>
    <row r="7" ht="46" customHeight="1">
      <c r="B7" s="14" t="inlineStr">
        <is>
          <t>Fecha</t>
        </is>
      </c>
      <c r="C7" s="14" t="inlineStr">
        <is>
          <t>Día</t>
        </is>
      </c>
      <c r="D7" s="14" t="inlineStr">
        <is>
          <t>Lunes a viernes dentro del curso</t>
        </is>
      </c>
      <c r="E7" s="14" t="inlineStr">
        <is>
          <t>Sin clase por evento</t>
        </is>
      </c>
      <c r="F7" s="14" t="inlineStr">
        <is>
          <t>Día lectivo</t>
        </is>
      </c>
      <c r="G7" s="14" t="inlineStr">
        <is>
          <t>Mes</t>
        </is>
      </c>
      <c r="H7" s="14" t="inlineStr">
        <is>
          <t>Eventos ese día</t>
        </is>
      </c>
    </row>
    <row r="8">
      <c r="B8" s="19">
        <f>IF(Meses!$C$8+0&gt;=EDATE(Meses!$C$8,10),"",Meses!$C$8+0)</f>
        <v/>
      </c>
      <c r="C8" s="21">
        <f>IF(B8="","",MID("LunMarMiéJueVieSábDom",(WEEKDAY(B8,2)-1)*3+1,3))</f>
        <v/>
      </c>
      <c r="D8" s="22">
        <f>IF(B8="","",IF(AND(WEEKDAY(B8,2)&lt;=5,B8&gt;=Panel!$E$5,B8&lt;=Panel!$G$5),1,0))</f>
        <v/>
      </c>
      <c r="E8" s="22">
        <f>IF(B8="","",IF(D8=1,IF(COUNTIFS(Eventos!$D$8:$D$47,"&lt;="&amp;B8,Eventos!$M$8:$M$47,"&gt;="&amp;B8,Eventos!$I$8:$I$47,"Sí")&gt;0,1,0),0))</f>
        <v/>
      </c>
      <c r="F8" s="22">
        <f>IF(B8="","",D8-E8)</f>
        <v/>
      </c>
      <c r="G8" s="32">
        <f>IF(B8="","",DATE(YEAR(B8),MONTH(B8),1))</f>
        <v/>
      </c>
      <c r="H8" s="22">
        <f>IF(B8="","",COUNTIFS(Eventos!$D$8:$D$47,"&lt;="&amp;B8,Eventos!$M$8:$M$47,"&gt;="&amp;B8))</f>
        <v/>
      </c>
    </row>
    <row r="9">
      <c r="B9" s="19">
        <f>IF(Meses!$C$8+1&gt;=EDATE(Meses!$C$8,10),"",Meses!$C$8+1)</f>
        <v/>
      </c>
      <c r="C9" s="21">
        <f>IF(B9="","",MID("LunMarMiéJueVieSábDom",(WEEKDAY(B9,2)-1)*3+1,3))</f>
        <v/>
      </c>
      <c r="D9" s="22">
        <f>IF(B9="","",IF(AND(WEEKDAY(B9,2)&lt;=5,B9&gt;=Panel!$E$5,B9&lt;=Panel!$G$5),1,0))</f>
        <v/>
      </c>
      <c r="E9" s="22">
        <f>IF(B9="","",IF(D9=1,IF(COUNTIFS(Eventos!$D$8:$D$47,"&lt;="&amp;B9,Eventos!$M$8:$M$47,"&gt;="&amp;B9,Eventos!$I$8:$I$47,"Sí")&gt;0,1,0),0))</f>
        <v/>
      </c>
      <c r="F9" s="22">
        <f>IF(B9="","",D9-E9)</f>
        <v/>
      </c>
      <c r="G9" s="32">
        <f>IF(B9="","",DATE(YEAR(B9),MONTH(B9),1))</f>
        <v/>
      </c>
      <c r="H9" s="22">
        <f>IF(B9="","",COUNTIFS(Eventos!$D$8:$D$47,"&lt;="&amp;B9,Eventos!$M$8:$M$47,"&gt;="&amp;B9))</f>
        <v/>
      </c>
    </row>
    <row r="10">
      <c r="B10" s="19">
        <f>IF(Meses!$C$8+2&gt;=EDATE(Meses!$C$8,10),"",Meses!$C$8+2)</f>
        <v/>
      </c>
      <c r="C10" s="21">
        <f>IF(B10="","",MID("LunMarMiéJueVieSábDom",(WEEKDAY(B10,2)-1)*3+1,3))</f>
        <v/>
      </c>
      <c r="D10" s="22">
        <f>IF(B10="","",IF(AND(WEEKDAY(B10,2)&lt;=5,B10&gt;=Panel!$E$5,B10&lt;=Panel!$G$5),1,0))</f>
        <v/>
      </c>
      <c r="E10" s="22">
        <f>IF(B10="","",IF(D10=1,IF(COUNTIFS(Eventos!$D$8:$D$47,"&lt;="&amp;B10,Eventos!$M$8:$M$47,"&gt;="&amp;B10,Eventos!$I$8:$I$47,"Sí")&gt;0,1,0),0))</f>
        <v/>
      </c>
      <c r="F10" s="22">
        <f>IF(B10="","",D10-E10)</f>
        <v/>
      </c>
      <c r="G10" s="32">
        <f>IF(B10="","",DATE(YEAR(B10),MONTH(B10),1))</f>
        <v/>
      </c>
      <c r="H10" s="22">
        <f>IF(B10="","",COUNTIFS(Eventos!$D$8:$D$47,"&lt;="&amp;B10,Eventos!$M$8:$M$47,"&gt;="&amp;B10))</f>
        <v/>
      </c>
    </row>
    <row r="11">
      <c r="B11" s="19">
        <f>IF(Meses!$C$8+3&gt;=EDATE(Meses!$C$8,10),"",Meses!$C$8+3)</f>
        <v/>
      </c>
      <c r="C11" s="21">
        <f>IF(B11="","",MID("LunMarMiéJueVieSábDom",(WEEKDAY(B11,2)-1)*3+1,3))</f>
        <v/>
      </c>
      <c r="D11" s="22">
        <f>IF(B11="","",IF(AND(WEEKDAY(B11,2)&lt;=5,B11&gt;=Panel!$E$5,B11&lt;=Panel!$G$5),1,0))</f>
        <v/>
      </c>
      <c r="E11" s="22">
        <f>IF(B11="","",IF(D11=1,IF(COUNTIFS(Eventos!$D$8:$D$47,"&lt;="&amp;B11,Eventos!$M$8:$M$47,"&gt;="&amp;B11,Eventos!$I$8:$I$47,"Sí")&gt;0,1,0),0))</f>
        <v/>
      </c>
      <c r="F11" s="22">
        <f>IF(B11="","",D11-E11)</f>
        <v/>
      </c>
      <c r="G11" s="32">
        <f>IF(B11="","",DATE(YEAR(B11),MONTH(B11),1))</f>
        <v/>
      </c>
      <c r="H11" s="22">
        <f>IF(B11="","",COUNTIFS(Eventos!$D$8:$D$47,"&lt;="&amp;B11,Eventos!$M$8:$M$47,"&gt;="&amp;B11))</f>
        <v/>
      </c>
    </row>
    <row r="12">
      <c r="B12" s="19">
        <f>IF(Meses!$C$8+4&gt;=EDATE(Meses!$C$8,10),"",Meses!$C$8+4)</f>
        <v/>
      </c>
      <c r="C12" s="21">
        <f>IF(B12="","",MID("LunMarMiéJueVieSábDom",(WEEKDAY(B12,2)-1)*3+1,3))</f>
        <v/>
      </c>
      <c r="D12" s="22">
        <f>IF(B12="","",IF(AND(WEEKDAY(B12,2)&lt;=5,B12&gt;=Panel!$E$5,B12&lt;=Panel!$G$5),1,0))</f>
        <v/>
      </c>
      <c r="E12" s="22">
        <f>IF(B12="","",IF(D12=1,IF(COUNTIFS(Eventos!$D$8:$D$47,"&lt;="&amp;B12,Eventos!$M$8:$M$47,"&gt;="&amp;B12,Eventos!$I$8:$I$47,"Sí")&gt;0,1,0),0))</f>
        <v/>
      </c>
      <c r="F12" s="22">
        <f>IF(B12="","",D12-E12)</f>
        <v/>
      </c>
      <c r="G12" s="32">
        <f>IF(B12="","",DATE(YEAR(B12),MONTH(B12),1))</f>
        <v/>
      </c>
      <c r="H12" s="22">
        <f>IF(B12="","",COUNTIFS(Eventos!$D$8:$D$47,"&lt;="&amp;B12,Eventos!$M$8:$M$47,"&gt;="&amp;B12))</f>
        <v/>
      </c>
    </row>
    <row r="13">
      <c r="B13" s="19">
        <f>IF(Meses!$C$8+5&gt;=EDATE(Meses!$C$8,10),"",Meses!$C$8+5)</f>
        <v/>
      </c>
      <c r="C13" s="21">
        <f>IF(B13="","",MID("LunMarMiéJueVieSábDom",(WEEKDAY(B13,2)-1)*3+1,3))</f>
        <v/>
      </c>
      <c r="D13" s="22">
        <f>IF(B13="","",IF(AND(WEEKDAY(B13,2)&lt;=5,B13&gt;=Panel!$E$5,B13&lt;=Panel!$G$5),1,0))</f>
        <v/>
      </c>
      <c r="E13" s="22">
        <f>IF(B13="","",IF(D13=1,IF(COUNTIFS(Eventos!$D$8:$D$47,"&lt;="&amp;B13,Eventos!$M$8:$M$47,"&gt;="&amp;B13,Eventos!$I$8:$I$47,"Sí")&gt;0,1,0),0))</f>
        <v/>
      </c>
      <c r="F13" s="22">
        <f>IF(B13="","",D13-E13)</f>
        <v/>
      </c>
      <c r="G13" s="32">
        <f>IF(B13="","",DATE(YEAR(B13),MONTH(B13),1))</f>
        <v/>
      </c>
      <c r="H13" s="22">
        <f>IF(B13="","",COUNTIFS(Eventos!$D$8:$D$47,"&lt;="&amp;B13,Eventos!$M$8:$M$47,"&gt;="&amp;B13))</f>
        <v/>
      </c>
    </row>
    <row r="14">
      <c r="B14" s="19">
        <f>IF(Meses!$C$8+6&gt;=EDATE(Meses!$C$8,10),"",Meses!$C$8+6)</f>
        <v/>
      </c>
      <c r="C14" s="21">
        <f>IF(B14="","",MID("LunMarMiéJueVieSábDom",(WEEKDAY(B14,2)-1)*3+1,3))</f>
        <v/>
      </c>
      <c r="D14" s="22">
        <f>IF(B14="","",IF(AND(WEEKDAY(B14,2)&lt;=5,B14&gt;=Panel!$E$5,B14&lt;=Panel!$G$5),1,0))</f>
        <v/>
      </c>
      <c r="E14" s="22">
        <f>IF(B14="","",IF(D14=1,IF(COUNTIFS(Eventos!$D$8:$D$47,"&lt;="&amp;B14,Eventos!$M$8:$M$47,"&gt;="&amp;B14,Eventos!$I$8:$I$47,"Sí")&gt;0,1,0),0))</f>
        <v/>
      </c>
      <c r="F14" s="22">
        <f>IF(B14="","",D14-E14)</f>
        <v/>
      </c>
      <c r="G14" s="32">
        <f>IF(B14="","",DATE(YEAR(B14),MONTH(B14),1))</f>
        <v/>
      </c>
      <c r="H14" s="22">
        <f>IF(B14="","",COUNTIFS(Eventos!$D$8:$D$47,"&lt;="&amp;B14,Eventos!$M$8:$M$47,"&gt;="&amp;B14))</f>
        <v/>
      </c>
    </row>
    <row r="15">
      <c r="B15" s="19">
        <f>IF(Meses!$C$8+7&gt;=EDATE(Meses!$C$8,10),"",Meses!$C$8+7)</f>
        <v/>
      </c>
      <c r="C15" s="21">
        <f>IF(B15="","",MID("LunMarMiéJueVieSábDom",(WEEKDAY(B15,2)-1)*3+1,3))</f>
        <v/>
      </c>
      <c r="D15" s="22">
        <f>IF(B15="","",IF(AND(WEEKDAY(B15,2)&lt;=5,B15&gt;=Panel!$E$5,B15&lt;=Panel!$G$5),1,0))</f>
        <v/>
      </c>
      <c r="E15" s="22">
        <f>IF(B15="","",IF(D15=1,IF(COUNTIFS(Eventos!$D$8:$D$47,"&lt;="&amp;B15,Eventos!$M$8:$M$47,"&gt;="&amp;B15,Eventos!$I$8:$I$47,"Sí")&gt;0,1,0),0))</f>
        <v/>
      </c>
      <c r="F15" s="22">
        <f>IF(B15="","",D15-E15)</f>
        <v/>
      </c>
      <c r="G15" s="32">
        <f>IF(B15="","",DATE(YEAR(B15),MONTH(B15),1))</f>
        <v/>
      </c>
      <c r="H15" s="22">
        <f>IF(B15="","",COUNTIFS(Eventos!$D$8:$D$47,"&lt;="&amp;B15,Eventos!$M$8:$M$47,"&gt;="&amp;B15))</f>
        <v/>
      </c>
    </row>
    <row r="16">
      <c r="B16" s="19">
        <f>IF(Meses!$C$8+8&gt;=EDATE(Meses!$C$8,10),"",Meses!$C$8+8)</f>
        <v/>
      </c>
      <c r="C16" s="21">
        <f>IF(B16="","",MID("LunMarMiéJueVieSábDom",(WEEKDAY(B16,2)-1)*3+1,3))</f>
        <v/>
      </c>
      <c r="D16" s="22">
        <f>IF(B16="","",IF(AND(WEEKDAY(B16,2)&lt;=5,B16&gt;=Panel!$E$5,B16&lt;=Panel!$G$5),1,0))</f>
        <v/>
      </c>
      <c r="E16" s="22">
        <f>IF(B16="","",IF(D16=1,IF(COUNTIFS(Eventos!$D$8:$D$47,"&lt;="&amp;B16,Eventos!$M$8:$M$47,"&gt;="&amp;B16,Eventos!$I$8:$I$47,"Sí")&gt;0,1,0),0))</f>
        <v/>
      </c>
      <c r="F16" s="22">
        <f>IF(B16="","",D16-E16)</f>
        <v/>
      </c>
      <c r="G16" s="32">
        <f>IF(B16="","",DATE(YEAR(B16),MONTH(B16),1))</f>
        <v/>
      </c>
      <c r="H16" s="22">
        <f>IF(B16="","",COUNTIFS(Eventos!$D$8:$D$47,"&lt;="&amp;B16,Eventos!$M$8:$M$47,"&gt;="&amp;B16))</f>
        <v/>
      </c>
    </row>
    <row r="17">
      <c r="B17" s="19">
        <f>IF(Meses!$C$8+9&gt;=EDATE(Meses!$C$8,10),"",Meses!$C$8+9)</f>
        <v/>
      </c>
      <c r="C17" s="21">
        <f>IF(B17="","",MID("LunMarMiéJueVieSábDom",(WEEKDAY(B17,2)-1)*3+1,3))</f>
        <v/>
      </c>
      <c r="D17" s="22">
        <f>IF(B17="","",IF(AND(WEEKDAY(B17,2)&lt;=5,B17&gt;=Panel!$E$5,B17&lt;=Panel!$G$5),1,0))</f>
        <v/>
      </c>
      <c r="E17" s="22">
        <f>IF(B17="","",IF(D17=1,IF(COUNTIFS(Eventos!$D$8:$D$47,"&lt;="&amp;B17,Eventos!$M$8:$M$47,"&gt;="&amp;B17,Eventos!$I$8:$I$47,"Sí")&gt;0,1,0),0))</f>
        <v/>
      </c>
      <c r="F17" s="22">
        <f>IF(B17="","",D17-E17)</f>
        <v/>
      </c>
      <c r="G17" s="32">
        <f>IF(B17="","",DATE(YEAR(B17),MONTH(B17),1))</f>
        <v/>
      </c>
      <c r="H17" s="22">
        <f>IF(B17="","",COUNTIFS(Eventos!$D$8:$D$47,"&lt;="&amp;B17,Eventos!$M$8:$M$47,"&gt;="&amp;B17))</f>
        <v/>
      </c>
    </row>
    <row r="18">
      <c r="B18" s="19">
        <f>IF(Meses!$C$8+10&gt;=EDATE(Meses!$C$8,10),"",Meses!$C$8+10)</f>
        <v/>
      </c>
      <c r="C18" s="21">
        <f>IF(B18="","",MID("LunMarMiéJueVieSábDom",(WEEKDAY(B18,2)-1)*3+1,3))</f>
        <v/>
      </c>
      <c r="D18" s="22">
        <f>IF(B18="","",IF(AND(WEEKDAY(B18,2)&lt;=5,B18&gt;=Panel!$E$5,B18&lt;=Panel!$G$5),1,0))</f>
        <v/>
      </c>
      <c r="E18" s="22">
        <f>IF(B18="","",IF(D18=1,IF(COUNTIFS(Eventos!$D$8:$D$47,"&lt;="&amp;B18,Eventos!$M$8:$M$47,"&gt;="&amp;B18,Eventos!$I$8:$I$47,"Sí")&gt;0,1,0),0))</f>
        <v/>
      </c>
      <c r="F18" s="22">
        <f>IF(B18="","",D18-E18)</f>
        <v/>
      </c>
      <c r="G18" s="32">
        <f>IF(B18="","",DATE(YEAR(B18),MONTH(B18),1))</f>
        <v/>
      </c>
      <c r="H18" s="22">
        <f>IF(B18="","",COUNTIFS(Eventos!$D$8:$D$47,"&lt;="&amp;B18,Eventos!$M$8:$M$47,"&gt;="&amp;B18))</f>
        <v/>
      </c>
    </row>
    <row r="19">
      <c r="B19" s="19">
        <f>IF(Meses!$C$8+11&gt;=EDATE(Meses!$C$8,10),"",Meses!$C$8+11)</f>
        <v/>
      </c>
      <c r="C19" s="21">
        <f>IF(B19="","",MID("LunMarMiéJueVieSábDom",(WEEKDAY(B19,2)-1)*3+1,3))</f>
        <v/>
      </c>
      <c r="D19" s="22">
        <f>IF(B19="","",IF(AND(WEEKDAY(B19,2)&lt;=5,B19&gt;=Panel!$E$5,B19&lt;=Panel!$G$5),1,0))</f>
        <v/>
      </c>
      <c r="E19" s="22">
        <f>IF(B19="","",IF(D19=1,IF(COUNTIFS(Eventos!$D$8:$D$47,"&lt;="&amp;B19,Eventos!$M$8:$M$47,"&gt;="&amp;B19,Eventos!$I$8:$I$47,"Sí")&gt;0,1,0),0))</f>
        <v/>
      </c>
      <c r="F19" s="22">
        <f>IF(B19="","",D19-E19)</f>
        <v/>
      </c>
      <c r="G19" s="32">
        <f>IF(B19="","",DATE(YEAR(B19),MONTH(B19),1))</f>
        <v/>
      </c>
      <c r="H19" s="22">
        <f>IF(B19="","",COUNTIFS(Eventos!$D$8:$D$47,"&lt;="&amp;B19,Eventos!$M$8:$M$47,"&gt;="&amp;B19))</f>
        <v/>
      </c>
    </row>
    <row r="20">
      <c r="B20" s="19">
        <f>IF(Meses!$C$8+12&gt;=EDATE(Meses!$C$8,10),"",Meses!$C$8+12)</f>
        <v/>
      </c>
      <c r="C20" s="21">
        <f>IF(B20="","",MID("LunMarMiéJueVieSábDom",(WEEKDAY(B20,2)-1)*3+1,3))</f>
        <v/>
      </c>
      <c r="D20" s="22">
        <f>IF(B20="","",IF(AND(WEEKDAY(B20,2)&lt;=5,B20&gt;=Panel!$E$5,B20&lt;=Panel!$G$5),1,0))</f>
        <v/>
      </c>
      <c r="E20" s="22">
        <f>IF(B20="","",IF(D20=1,IF(COUNTIFS(Eventos!$D$8:$D$47,"&lt;="&amp;B20,Eventos!$M$8:$M$47,"&gt;="&amp;B20,Eventos!$I$8:$I$47,"Sí")&gt;0,1,0),0))</f>
        <v/>
      </c>
      <c r="F20" s="22">
        <f>IF(B20="","",D20-E20)</f>
        <v/>
      </c>
      <c r="G20" s="32">
        <f>IF(B20="","",DATE(YEAR(B20),MONTH(B20),1))</f>
        <v/>
      </c>
      <c r="H20" s="22">
        <f>IF(B20="","",COUNTIFS(Eventos!$D$8:$D$47,"&lt;="&amp;B20,Eventos!$M$8:$M$47,"&gt;="&amp;B20))</f>
        <v/>
      </c>
    </row>
    <row r="21">
      <c r="B21" s="19">
        <f>IF(Meses!$C$8+13&gt;=EDATE(Meses!$C$8,10),"",Meses!$C$8+13)</f>
        <v/>
      </c>
      <c r="C21" s="21">
        <f>IF(B21="","",MID("LunMarMiéJueVieSábDom",(WEEKDAY(B21,2)-1)*3+1,3))</f>
        <v/>
      </c>
      <c r="D21" s="22">
        <f>IF(B21="","",IF(AND(WEEKDAY(B21,2)&lt;=5,B21&gt;=Panel!$E$5,B21&lt;=Panel!$G$5),1,0))</f>
        <v/>
      </c>
      <c r="E21" s="22">
        <f>IF(B21="","",IF(D21=1,IF(COUNTIFS(Eventos!$D$8:$D$47,"&lt;="&amp;B21,Eventos!$M$8:$M$47,"&gt;="&amp;B21,Eventos!$I$8:$I$47,"Sí")&gt;0,1,0),0))</f>
        <v/>
      </c>
      <c r="F21" s="22">
        <f>IF(B21="","",D21-E21)</f>
        <v/>
      </c>
      <c r="G21" s="32">
        <f>IF(B21="","",DATE(YEAR(B21),MONTH(B21),1))</f>
        <v/>
      </c>
      <c r="H21" s="22">
        <f>IF(B21="","",COUNTIFS(Eventos!$D$8:$D$47,"&lt;="&amp;B21,Eventos!$M$8:$M$47,"&gt;="&amp;B21))</f>
        <v/>
      </c>
    </row>
    <row r="22">
      <c r="B22" s="19">
        <f>IF(Meses!$C$8+14&gt;=EDATE(Meses!$C$8,10),"",Meses!$C$8+14)</f>
        <v/>
      </c>
      <c r="C22" s="21">
        <f>IF(B22="","",MID("LunMarMiéJueVieSábDom",(WEEKDAY(B22,2)-1)*3+1,3))</f>
        <v/>
      </c>
      <c r="D22" s="22">
        <f>IF(B22="","",IF(AND(WEEKDAY(B22,2)&lt;=5,B22&gt;=Panel!$E$5,B22&lt;=Panel!$G$5),1,0))</f>
        <v/>
      </c>
      <c r="E22" s="22">
        <f>IF(B22="","",IF(D22=1,IF(COUNTIFS(Eventos!$D$8:$D$47,"&lt;="&amp;B22,Eventos!$M$8:$M$47,"&gt;="&amp;B22,Eventos!$I$8:$I$47,"Sí")&gt;0,1,0),0))</f>
        <v/>
      </c>
      <c r="F22" s="22">
        <f>IF(B22="","",D22-E22)</f>
        <v/>
      </c>
      <c r="G22" s="32">
        <f>IF(B22="","",DATE(YEAR(B22),MONTH(B22),1))</f>
        <v/>
      </c>
      <c r="H22" s="22">
        <f>IF(B22="","",COUNTIFS(Eventos!$D$8:$D$47,"&lt;="&amp;B22,Eventos!$M$8:$M$47,"&gt;="&amp;B22))</f>
        <v/>
      </c>
    </row>
    <row r="23">
      <c r="B23" s="19">
        <f>IF(Meses!$C$8+15&gt;=EDATE(Meses!$C$8,10),"",Meses!$C$8+15)</f>
        <v/>
      </c>
      <c r="C23" s="21">
        <f>IF(B23="","",MID("LunMarMiéJueVieSábDom",(WEEKDAY(B23,2)-1)*3+1,3))</f>
        <v/>
      </c>
      <c r="D23" s="22">
        <f>IF(B23="","",IF(AND(WEEKDAY(B23,2)&lt;=5,B23&gt;=Panel!$E$5,B23&lt;=Panel!$G$5),1,0))</f>
        <v/>
      </c>
      <c r="E23" s="22">
        <f>IF(B23="","",IF(D23=1,IF(COUNTIFS(Eventos!$D$8:$D$47,"&lt;="&amp;B23,Eventos!$M$8:$M$47,"&gt;="&amp;B23,Eventos!$I$8:$I$47,"Sí")&gt;0,1,0),0))</f>
        <v/>
      </c>
      <c r="F23" s="22">
        <f>IF(B23="","",D23-E23)</f>
        <v/>
      </c>
      <c r="G23" s="32">
        <f>IF(B23="","",DATE(YEAR(B23),MONTH(B23),1))</f>
        <v/>
      </c>
      <c r="H23" s="22">
        <f>IF(B23="","",COUNTIFS(Eventos!$D$8:$D$47,"&lt;="&amp;B23,Eventos!$M$8:$M$47,"&gt;="&amp;B23))</f>
        <v/>
      </c>
    </row>
    <row r="24">
      <c r="B24" s="19">
        <f>IF(Meses!$C$8+16&gt;=EDATE(Meses!$C$8,10),"",Meses!$C$8+16)</f>
        <v/>
      </c>
      <c r="C24" s="21">
        <f>IF(B24="","",MID("LunMarMiéJueVieSábDom",(WEEKDAY(B24,2)-1)*3+1,3))</f>
        <v/>
      </c>
      <c r="D24" s="22">
        <f>IF(B24="","",IF(AND(WEEKDAY(B24,2)&lt;=5,B24&gt;=Panel!$E$5,B24&lt;=Panel!$G$5),1,0))</f>
        <v/>
      </c>
      <c r="E24" s="22">
        <f>IF(B24="","",IF(D24=1,IF(COUNTIFS(Eventos!$D$8:$D$47,"&lt;="&amp;B24,Eventos!$M$8:$M$47,"&gt;="&amp;B24,Eventos!$I$8:$I$47,"Sí")&gt;0,1,0),0))</f>
        <v/>
      </c>
      <c r="F24" s="22">
        <f>IF(B24="","",D24-E24)</f>
        <v/>
      </c>
      <c r="G24" s="32">
        <f>IF(B24="","",DATE(YEAR(B24),MONTH(B24),1))</f>
        <v/>
      </c>
      <c r="H24" s="22">
        <f>IF(B24="","",COUNTIFS(Eventos!$D$8:$D$47,"&lt;="&amp;B24,Eventos!$M$8:$M$47,"&gt;="&amp;B24))</f>
        <v/>
      </c>
    </row>
    <row r="25">
      <c r="B25" s="19">
        <f>IF(Meses!$C$8+17&gt;=EDATE(Meses!$C$8,10),"",Meses!$C$8+17)</f>
        <v/>
      </c>
      <c r="C25" s="21">
        <f>IF(B25="","",MID("LunMarMiéJueVieSábDom",(WEEKDAY(B25,2)-1)*3+1,3))</f>
        <v/>
      </c>
      <c r="D25" s="22">
        <f>IF(B25="","",IF(AND(WEEKDAY(B25,2)&lt;=5,B25&gt;=Panel!$E$5,B25&lt;=Panel!$G$5),1,0))</f>
        <v/>
      </c>
      <c r="E25" s="22">
        <f>IF(B25="","",IF(D25=1,IF(COUNTIFS(Eventos!$D$8:$D$47,"&lt;="&amp;B25,Eventos!$M$8:$M$47,"&gt;="&amp;B25,Eventos!$I$8:$I$47,"Sí")&gt;0,1,0),0))</f>
        <v/>
      </c>
      <c r="F25" s="22">
        <f>IF(B25="","",D25-E25)</f>
        <v/>
      </c>
      <c r="G25" s="32">
        <f>IF(B25="","",DATE(YEAR(B25),MONTH(B25),1))</f>
        <v/>
      </c>
      <c r="H25" s="22">
        <f>IF(B25="","",COUNTIFS(Eventos!$D$8:$D$47,"&lt;="&amp;B25,Eventos!$M$8:$M$47,"&gt;="&amp;B25))</f>
        <v/>
      </c>
    </row>
    <row r="26">
      <c r="B26" s="19">
        <f>IF(Meses!$C$8+18&gt;=EDATE(Meses!$C$8,10),"",Meses!$C$8+18)</f>
        <v/>
      </c>
      <c r="C26" s="21">
        <f>IF(B26="","",MID("LunMarMiéJueVieSábDom",(WEEKDAY(B26,2)-1)*3+1,3))</f>
        <v/>
      </c>
      <c r="D26" s="22">
        <f>IF(B26="","",IF(AND(WEEKDAY(B26,2)&lt;=5,B26&gt;=Panel!$E$5,B26&lt;=Panel!$G$5),1,0))</f>
        <v/>
      </c>
      <c r="E26" s="22">
        <f>IF(B26="","",IF(D26=1,IF(COUNTIFS(Eventos!$D$8:$D$47,"&lt;="&amp;B26,Eventos!$M$8:$M$47,"&gt;="&amp;B26,Eventos!$I$8:$I$47,"Sí")&gt;0,1,0),0))</f>
        <v/>
      </c>
      <c r="F26" s="22">
        <f>IF(B26="","",D26-E26)</f>
        <v/>
      </c>
      <c r="G26" s="32">
        <f>IF(B26="","",DATE(YEAR(B26),MONTH(B26),1))</f>
        <v/>
      </c>
      <c r="H26" s="22">
        <f>IF(B26="","",COUNTIFS(Eventos!$D$8:$D$47,"&lt;="&amp;B26,Eventos!$M$8:$M$47,"&gt;="&amp;B26))</f>
        <v/>
      </c>
    </row>
    <row r="27">
      <c r="B27" s="19">
        <f>IF(Meses!$C$8+19&gt;=EDATE(Meses!$C$8,10),"",Meses!$C$8+19)</f>
        <v/>
      </c>
      <c r="C27" s="21">
        <f>IF(B27="","",MID("LunMarMiéJueVieSábDom",(WEEKDAY(B27,2)-1)*3+1,3))</f>
        <v/>
      </c>
      <c r="D27" s="22">
        <f>IF(B27="","",IF(AND(WEEKDAY(B27,2)&lt;=5,B27&gt;=Panel!$E$5,B27&lt;=Panel!$G$5),1,0))</f>
        <v/>
      </c>
      <c r="E27" s="22">
        <f>IF(B27="","",IF(D27=1,IF(COUNTIFS(Eventos!$D$8:$D$47,"&lt;="&amp;B27,Eventos!$M$8:$M$47,"&gt;="&amp;B27,Eventos!$I$8:$I$47,"Sí")&gt;0,1,0),0))</f>
        <v/>
      </c>
      <c r="F27" s="22">
        <f>IF(B27="","",D27-E27)</f>
        <v/>
      </c>
      <c r="G27" s="32">
        <f>IF(B27="","",DATE(YEAR(B27),MONTH(B27),1))</f>
        <v/>
      </c>
      <c r="H27" s="22">
        <f>IF(B27="","",COUNTIFS(Eventos!$D$8:$D$47,"&lt;="&amp;B27,Eventos!$M$8:$M$47,"&gt;="&amp;B27))</f>
        <v/>
      </c>
    </row>
    <row r="28">
      <c r="B28" s="19">
        <f>IF(Meses!$C$8+20&gt;=EDATE(Meses!$C$8,10),"",Meses!$C$8+20)</f>
        <v/>
      </c>
      <c r="C28" s="21">
        <f>IF(B28="","",MID("LunMarMiéJueVieSábDom",(WEEKDAY(B28,2)-1)*3+1,3))</f>
        <v/>
      </c>
      <c r="D28" s="22">
        <f>IF(B28="","",IF(AND(WEEKDAY(B28,2)&lt;=5,B28&gt;=Panel!$E$5,B28&lt;=Panel!$G$5),1,0))</f>
        <v/>
      </c>
      <c r="E28" s="22">
        <f>IF(B28="","",IF(D28=1,IF(COUNTIFS(Eventos!$D$8:$D$47,"&lt;="&amp;B28,Eventos!$M$8:$M$47,"&gt;="&amp;B28,Eventos!$I$8:$I$47,"Sí")&gt;0,1,0),0))</f>
        <v/>
      </c>
      <c r="F28" s="22">
        <f>IF(B28="","",D28-E28)</f>
        <v/>
      </c>
      <c r="G28" s="32">
        <f>IF(B28="","",DATE(YEAR(B28),MONTH(B28),1))</f>
        <v/>
      </c>
      <c r="H28" s="22">
        <f>IF(B28="","",COUNTIFS(Eventos!$D$8:$D$47,"&lt;="&amp;B28,Eventos!$M$8:$M$47,"&gt;="&amp;B28))</f>
        <v/>
      </c>
    </row>
    <row r="29">
      <c r="B29" s="19">
        <f>IF(Meses!$C$8+21&gt;=EDATE(Meses!$C$8,10),"",Meses!$C$8+21)</f>
        <v/>
      </c>
      <c r="C29" s="21">
        <f>IF(B29="","",MID("LunMarMiéJueVieSábDom",(WEEKDAY(B29,2)-1)*3+1,3))</f>
        <v/>
      </c>
      <c r="D29" s="22">
        <f>IF(B29="","",IF(AND(WEEKDAY(B29,2)&lt;=5,B29&gt;=Panel!$E$5,B29&lt;=Panel!$G$5),1,0))</f>
        <v/>
      </c>
      <c r="E29" s="22">
        <f>IF(B29="","",IF(D29=1,IF(COUNTIFS(Eventos!$D$8:$D$47,"&lt;="&amp;B29,Eventos!$M$8:$M$47,"&gt;="&amp;B29,Eventos!$I$8:$I$47,"Sí")&gt;0,1,0),0))</f>
        <v/>
      </c>
      <c r="F29" s="22">
        <f>IF(B29="","",D29-E29)</f>
        <v/>
      </c>
      <c r="G29" s="32">
        <f>IF(B29="","",DATE(YEAR(B29),MONTH(B29),1))</f>
        <v/>
      </c>
      <c r="H29" s="22">
        <f>IF(B29="","",COUNTIFS(Eventos!$D$8:$D$47,"&lt;="&amp;B29,Eventos!$M$8:$M$47,"&gt;="&amp;B29))</f>
        <v/>
      </c>
    </row>
    <row r="30">
      <c r="B30" s="19">
        <f>IF(Meses!$C$8+22&gt;=EDATE(Meses!$C$8,10),"",Meses!$C$8+22)</f>
        <v/>
      </c>
      <c r="C30" s="21">
        <f>IF(B30="","",MID("LunMarMiéJueVieSábDom",(WEEKDAY(B30,2)-1)*3+1,3))</f>
        <v/>
      </c>
      <c r="D30" s="22">
        <f>IF(B30="","",IF(AND(WEEKDAY(B30,2)&lt;=5,B30&gt;=Panel!$E$5,B30&lt;=Panel!$G$5),1,0))</f>
        <v/>
      </c>
      <c r="E30" s="22">
        <f>IF(B30="","",IF(D30=1,IF(COUNTIFS(Eventos!$D$8:$D$47,"&lt;="&amp;B30,Eventos!$M$8:$M$47,"&gt;="&amp;B30,Eventos!$I$8:$I$47,"Sí")&gt;0,1,0),0))</f>
        <v/>
      </c>
      <c r="F30" s="22">
        <f>IF(B30="","",D30-E30)</f>
        <v/>
      </c>
      <c r="G30" s="32">
        <f>IF(B30="","",DATE(YEAR(B30),MONTH(B30),1))</f>
        <v/>
      </c>
      <c r="H30" s="22">
        <f>IF(B30="","",COUNTIFS(Eventos!$D$8:$D$47,"&lt;="&amp;B30,Eventos!$M$8:$M$47,"&gt;="&amp;B30))</f>
        <v/>
      </c>
    </row>
    <row r="31">
      <c r="B31" s="19">
        <f>IF(Meses!$C$8+23&gt;=EDATE(Meses!$C$8,10),"",Meses!$C$8+23)</f>
        <v/>
      </c>
      <c r="C31" s="21">
        <f>IF(B31="","",MID("LunMarMiéJueVieSábDom",(WEEKDAY(B31,2)-1)*3+1,3))</f>
        <v/>
      </c>
      <c r="D31" s="22">
        <f>IF(B31="","",IF(AND(WEEKDAY(B31,2)&lt;=5,B31&gt;=Panel!$E$5,B31&lt;=Panel!$G$5),1,0))</f>
        <v/>
      </c>
      <c r="E31" s="22">
        <f>IF(B31="","",IF(D31=1,IF(COUNTIFS(Eventos!$D$8:$D$47,"&lt;="&amp;B31,Eventos!$M$8:$M$47,"&gt;="&amp;B31,Eventos!$I$8:$I$47,"Sí")&gt;0,1,0),0))</f>
        <v/>
      </c>
      <c r="F31" s="22">
        <f>IF(B31="","",D31-E31)</f>
        <v/>
      </c>
      <c r="G31" s="32">
        <f>IF(B31="","",DATE(YEAR(B31),MONTH(B31),1))</f>
        <v/>
      </c>
      <c r="H31" s="22">
        <f>IF(B31="","",COUNTIFS(Eventos!$D$8:$D$47,"&lt;="&amp;B31,Eventos!$M$8:$M$47,"&gt;="&amp;B31))</f>
        <v/>
      </c>
    </row>
    <row r="32">
      <c r="B32" s="19">
        <f>IF(Meses!$C$8+24&gt;=EDATE(Meses!$C$8,10),"",Meses!$C$8+24)</f>
        <v/>
      </c>
      <c r="C32" s="21">
        <f>IF(B32="","",MID("LunMarMiéJueVieSábDom",(WEEKDAY(B32,2)-1)*3+1,3))</f>
        <v/>
      </c>
      <c r="D32" s="22">
        <f>IF(B32="","",IF(AND(WEEKDAY(B32,2)&lt;=5,B32&gt;=Panel!$E$5,B32&lt;=Panel!$G$5),1,0))</f>
        <v/>
      </c>
      <c r="E32" s="22">
        <f>IF(B32="","",IF(D32=1,IF(COUNTIFS(Eventos!$D$8:$D$47,"&lt;="&amp;B32,Eventos!$M$8:$M$47,"&gt;="&amp;B32,Eventos!$I$8:$I$47,"Sí")&gt;0,1,0),0))</f>
        <v/>
      </c>
      <c r="F32" s="22">
        <f>IF(B32="","",D32-E32)</f>
        <v/>
      </c>
      <c r="G32" s="32">
        <f>IF(B32="","",DATE(YEAR(B32),MONTH(B32),1))</f>
        <v/>
      </c>
      <c r="H32" s="22">
        <f>IF(B32="","",COUNTIFS(Eventos!$D$8:$D$47,"&lt;="&amp;B32,Eventos!$M$8:$M$47,"&gt;="&amp;B32))</f>
        <v/>
      </c>
    </row>
    <row r="33">
      <c r="B33" s="19">
        <f>IF(Meses!$C$8+25&gt;=EDATE(Meses!$C$8,10),"",Meses!$C$8+25)</f>
        <v/>
      </c>
      <c r="C33" s="21">
        <f>IF(B33="","",MID("LunMarMiéJueVieSábDom",(WEEKDAY(B33,2)-1)*3+1,3))</f>
        <v/>
      </c>
      <c r="D33" s="22">
        <f>IF(B33="","",IF(AND(WEEKDAY(B33,2)&lt;=5,B33&gt;=Panel!$E$5,B33&lt;=Panel!$G$5),1,0))</f>
        <v/>
      </c>
      <c r="E33" s="22">
        <f>IF(B33="","",IF(D33=1,IF(COUNTIFS(Eventos!$D$8:$D$47,"&lt;="&amp;B33,Eventos!$M$8:$M$47,"&gt;="&amp;B33,Eventos!$I$8:$I$47,"Sí")&gt;0,1,0),0))</f>
        <v/>
      </c>
      <c r="F33" s="22">
        <f>IF(B33="","",D33-E33)</f>
        <v/>
      </c>
      <c r="G33" s="32">
        <f>IF(B33="","",DATE(YEAR(B33),MONTH(B33),1))</f>
        <v/>
      </c>
      <c r="H33" s="22">
        <f>IF(B33="","",COUNTIFS(Eventos!$D$8:$D$47,"&lt;="&amp;B33,Eventos!$M$8:$M$47,"&gt;="&amp;B33))</f>
        <v/>
      </c>
    </row>
    <row r="34">
      <c r="B34" s="19">
        <f>IF(Meses!$C$8+26&gt;=EDATE(Meses!$C$8,10),"",Meses!$C$8+26)</f>
        <v/>
      </c>
      <c r="C34" s="21">
        <f>IF(B34="","",MID("LunMarMiéJueVieSábDom",(WEEKDAY(B34,2)-1)*3+1,3))</f>
        <v/>
      </c>
      <c r="D34" s="22">
        <f>IF(B34="","",IF(AND(WEEKDAY(B34,2)&lt;=5,B34&gt;=Panel!$E$5,B34&lt;=Panel!$G$5),1,0))</f>
        <v/>
      </c>
      <c r="E34" s="22">
        <f>IF(B34="","",IF(D34=1,IF(COUNTIFS(Eventos!$D$8:$D$47,"&lt;="&amp;B34,Eventos!$M$8:$M$47,"&gt;="&amp;B34,Eventos!$I$8:$I$47,"Sí")&gt;0,1,0),0))</f>
        <v/>
      </c>
      <c r="F34" s="22">
        <f>IF(B34="","",D34-E34)</f>
        <v/>
      </c>
      <c r="G34" s="32">
        <f>IF(B34="","",DATE(YEAR(B34),MONTH(B34),1))</f>
        <v/>
      </c>
      <c r="H34" s="22">
        <f>IF(B34="","",COUNTIFS(Eventos!$D$8:$D$47,"&lt;="&amp;B34,Eventos!$M$8:$M$47,"&gt;="&amp;B34))</f>
        <v/>
      </c>
    </row>
    <row r="35">
      <c r="B35" s="19">
        <f>IF(Meses!$C$8+27&gt;=EDATE(Meses!$C$8,10),"",Meses!$C$8+27)</f>
        <v/>
      </c>
      <c r="C35" s="21">
        <f>IF(B35="","",MID("LunMarMiéJueVieSábDom",(WEEKDAY(B35,2)-1)*3+1,3))</f>
        <v/>
      </c>
      <c r="D35" s="22">
        <f>IF(B35="","",IF(AND(WEEKDAY(B35,2)&lt;=5,B35&gt;=Panel!$E$5,B35&lt;=Panel!$G$5),1,0))</f>
        <v/>
      </c>
      <c r="E35" s="22">
        <f>IF(B35="","",IF(D35=1,IF(COUNTIFS(Eventos!$D$8:$D$47,"&lt;="&amp;B35,Eventos!$M$8:$M$47,"&gt;="&amp;B35,Eventos!$I$8:$I$47,"Sí")&gt;0,1,0),0))</f>
        <v/>
      </c>
      <c r="F35" s="22">
        <f>IF(B35="","",D35-E35)</f>
        <v/>
      </c>
      <c r="G35" s="32">
        <f>IF(B35="","",DATE(YEAR(B35),MONTH(B35),1))</f>
        <v/>
      </c>
      <c r="H35" s="22">
        <f>IF(B35="","",COUNTIFS(Eventos!$D$8:$D$47,"&lt;="&amp;B35,Eventos!$M$8:$M$47,"&gt;="&amp;B35))</f>
        <v/>
      </c>
    </row>
    <row r="36">
      <c r="B36" s="19">
        <f>IF(Meses!$C$8+28&gt;=EDATE(Meses!$C$8,10),"",Meses!$C$8+28)</f>
        <v/>
      </c>
      <c r="C36" s="21">
        <f>IF(B36="","",MID("LunMarMiéJueVieSábDom",(WEEKDAY(B36,2)-1)*3+1,3))</f>
        <v/>
      </c>
      <c r="D36" s="22">
        <f>IF(B36="","",IF(AND(WEEKDAY(B36,2)&lt;=5,B36&gt;=Panel!$E$5,B36&lt;=Panel!$G$5),1,0))</f>
        <v/>
      </c>
      <c r="E36" s="22">
        <f>IF(B36="","",IF(D36=1,IF(COUNTIFS(Eventos!$D$8:$D$47,"&lt;="&amp;B36,Eventos!$M$8:$M$47,"&gt;="&amp;B36,Eventos!$I$8:$I$47,"Sí")&gt;0,1,0),0))</f>
        <v/>
      </c>
      <c r="F36" s="22">
        <f>IF(B36="","",D36-E36)</f>
        <v/>
      </c>
      <c r="G36" s="32">
        <f>IF(B36="","",DATE(YEAR(B36),MONTH(B36),1))</f>
        <v/>
      </c>
      <c r="H36" s="22">
        <f>IF(B36="","",COUNTIFS(Eventos!$D$8:$D$47,"&lt;="&amp;B36,Eventos!$M$8:$M$47,"&gt;="&amp;B36))</f>
        <v/>
      </c>
    </row>
    <row r="37">
      <c r="B37" s="19">
        <f>IF(Meses!$C$8+29&gt;=EDATE(Meses!$C$8,10),"",Meses!$C$8+29)</f>
        <v/>
      </c>
      <c r="C37" s="21">
        <f>IF(B37="","",MID("LunMarMiéJueVieSábDom",(WEEKDAY(B37,2)-1)*3+1,3))</f>
        <v/>
      </c>
      <c r="D37" s="22">
        <f>IF(B37="","",IF(AND(WEEKDAY(B37,2)&lt;=5,B37&gt;=Panel!$E$5,B37&lt;=Panel!$G$5),1,0))</f>
        <v/>
      </c>
      <c r="E37" s="22">
        <f>IF(B37="","",IF(D37=1,IF(COUNTIFS(Eventos!$D$8:$D$47,"&lt;="&amp;B37,Eventos!$M$8:$M$47,"&gt;="&amp;B37,Eventos!$I$8:$I$47,"Sí")&gt;0,1,0),0))</f>
        <v/>
      </c>
      <c r="F37" s="22">
        <f>IF(B37="","",D37-E37)</f>
        <v/>
      </c>
      <c r="G37" s="32">
        <f>IF(B37="","",DATE(YEAR(B37),MONTH(B37),1))</f>
        <v/>
      </c>
      <c r="H37" s="22">
        <f>IF(B37="","",COUNTIFS(Eventos!$D$8:$D$47,"&lt;="&amp;B37,Eventos!$M$8:$M$47,"&gt;="&amp;B37))</f>
        <v/>
      </c>
    </row>
    <row r="38">
      <c r="B38" s="19">
        <f>IF(Meses!$C$8+30&gt;=EDATE(Meses!$C$8,10),"",Meses!$C$8+30)</f>
        <v/>
      </c>
      <c r="C38" s="21">
        <f>IF(B38="","",MID("LunMarMiéJueVieSábDom",(WEEKDAY(B38,2)-1)*3+1,3))</f>
        <v/>
      </c>
      <c r="D38" s="22">
        <f>IF(B38="","",IF(AND(WEEKDAY(B38,2)&lt;=5,B38&gt;=Panel!$E$5,B38&lt;=Panel!$G$5),1,0))</f>
        <v/>
      </c>
      <c r="E38" s="22">
        <f>IF(B38="","",IF(D38=1,IF(COUNTIFS(Eventos!$D$8:$D$47,"&lt;="&amp;B38,Eventos!$M$8:$M$47,"&gt;="&amp;B38,Eventos!$I$8:$I$47,"Sí")&gt;0,1,0),0))</f>
        <v/>
      </c>
      <c r="F38" s="22">
        <f>IF(B38="","",D38-E38)</f>
        <v/>
      </c>
      <c r="G38" s="32">
        <f>IF(B38="","",DATE(YEAR(B38),MONTH(B38),1))</f>
        <v/>
      </c>
      <c r="H38" s="22">
        <f>IF(B38="","",COUNTIFS(Eventos!$D$8:$D$47,"&lt;="&amp;B38,Eventos!$M$8:$M$47,"&gt;="&amp;B38))</f>
        <v/>
      </c>
    </row>
    <row r="39">
      <c r="B39" s="19">
        <f>IF(Meses!$C$8+31&gt;=EDATE(Meses!$C$8,10),"",Meses!$C$8+31)</f>
        <v/>
      </c>
      <c r="C39" s="21">
        <f>IF(B39="","",MID("LunMarMiéJueVieSábDom",(WEEKDAY(B39,2)-1)*3+1,3))</f>
        <v/>
      </c>
      <c r="D39" s="22">
        <f>IF(B39="","",IF(AND(WEEKDAY(B39,2)&lt;=5,B39&gt;=Panel!$E$5,B39&lt;=Panel!$G$5),1,0))</f>
        <v/>
      </c>
      <c r="E39" s="22">
        <f>IF(B39="","",IF(D39=1,IF(COUNTIFS(Eventos!$D$8:$D$47,"&lt;="&amp;B39,Eventos!$M$8:$M$47,"&gt;="&amp;B39,Eventos!$I$8:$I$47,"Sí")&gt;0,1,0),0))</f>
        <v/>
      </c>
      <c r="F39" s="22">
        <f>IF(B39="","",D39-E39)</f>
        <v/>
      </c>
      <c r="G39" s="32">
        <f>IF(B39="","",DATE(YEAR(B39),MONTH(B39),1))</f>
        <v/>
      </c>
      <c r="H39" s="22">
        <f>IF(B39="","",COUNTIFS(Eventos!$D$8:$D$47,"&lt;="&amp;B39,Eventos!$M$8:$M$47,"&gt;="&amp;B39))</f>
        <v/>
      </c>
    </row>
    <row r="40">
      <c r="B40" s="19">
        <f>IF(Meses!$C$8+32&gt;=EDATE(Meses!$C$8,10),"",Meses!$C$8+32)</f>
        <v/>
      </c>
      <c r="C40" s="21">
        <f>IF(B40="","",MID("LunMarMiéJueVieSábDom",(WEEKDAY(B40,2)-1)*3+1,3))</f>
        <v/>
      </c>
      <c r="D40" s="22">
        <f>IF(B40="","",IF(AND(WEEKDAY(B40,2)&lt;=5,B40&gt;=Panel!$E$5,B40&lt;=Panel!$G$5),1,0))</f>
        <v/>
      </c>
      <c r="E40" s="22">
        <f>IF(B40="","",IF(D40=1,IF(COUNTIFS(Eventos!$D$8:$D$47,"&lt;="&amp;B40,Eventos!$M$8:$M$47,"&gt;="&amp;B40,Eventos!$I$8:$I$47,"Sí")&gt;0,1,0),0))</f>
        <v/>
      </c>
      <c r="F40" s="22">
        <f>IF(B40="","",D40-E40)</f>
        <v/>
      </c>
      <c r="G40" s="32">
        <f>IF(B40="","",DATE(YEAR(B40),MONTH(B40),1))</f>
        <v/>
      </c>
      <c r="H40" s="22">
        <f>IF(B40="","",COUNTIFS(Eventos!$D$8:$D$47,"&lt;="&amp;B40,Eventos!$M$8:$M$47,"&gt;="&amp;B40))</f>
        <v/>
      </c>
    </row>
    <row r="41">
      <c r="B41" s="19">
        <f>IF(Meses!$C$8+33&gt;=EDATE(Meses!$C$8,10),"",Meses!$C$8+33)</f>
        <v/>
      </c>
      <c r="C41" s="21">
        <f>IF(B41="","",MID("LunMarMiéJueVieSábDom",(WEEKDAY(B41,2)-1)*3+1,3))</f>
        <v/>
      </c>
      <c r="D41" s="22">
        <f>IF(B41="","",IF(AND(WEEKDAY(B41,2)&lt;=5,B41&gt;=Panel!$E$5,B41&lt;=Panel!$G$5),1,0))</f>
        <v/>
      </c>
      <c r="E41" s="22">
        <f>IF(B41="","",IF(D41=1,IF(COUNTIFS(Eventos!$D$8:$D$47,"&lt;="&amp;B41,Eventos!$M$8:$M$47,"&gt;="&amp;B41,Eventos!$I$8:$I$47,"Sí")&gt;0,1,0),0))</f>
        <v/>
      </c>
      <c r="F41" s="22">
        <f>IF(B41="","",D41-E41)</f>
        <v/>
      </c>
      <c r="G41" s="32">
        <f>IF(B41="","",DATE(YEAR(B41),MONTH(B41),1))</f>
        <v/>
      </c>
      <c r="H41" s="22">
        <f>IF(B41="","",COUNTIFS(Eventos!$D$8:$D$47,"&lt;="&amp;B41,Eventos!$M$8:$M$47,"&gt;="&amp;B41))</f>
        <v/>
      </c>
    </row>
    <row r="42">
      <c r="B42" s="19">
        <f>IF(Meses!$C$8+34&gt;=EDATE(Meses!$C$8,10),"",Meses!$C$8+34)</f>
        <v/>
      </c>
      <c r="C42" s="21">
        <f>IF(B42="","",MID("LunMarMiéJueVieSábDom",(WEEKDAY(B42,2)-1)*3+1,3))</f>
        <v/>
      </c>
      <c r="D42" s="22">
        <f>IF(B42="","",IF(AND(WEEKDAY(B42,2)&lt;=5,B42&gt;=Panel!$E$5,B42&lt;=Panel!$G$5),1,0))</f>
        <v/>
      </c>
      <c r="E42" s="22">
        <f>IF(B42="","",IF(D42=1,IF(COUNTIFS(Eventos!$D$8:$D$47,"&lt;="&amp;B42,Eventos!$M$8:$M$47,"&gt;="&amp;B42,Eventos!$I$8:$I$47,"Sí")&gt;0,1,0),0))</f>
        <v/>
      </c>
      <c r="F42" s="22">
        <f>IF(B42="","",D42-E42)</f>
        <v/>
      </c>
      <c r="G42" s="32">
        <f>IF(B42="","",DATE(YEAR(B42),MONTH(B42),1))</f>
        <v/>
      </c>
      <c r="H42" s="22">
        <f>IF(B42="","",COUNTIFS(Eventos!$D$8:$D$47,"&lt;="&amp;B42,Eventos!$M$8:$M$47,"&gt;="&amp;B42))</f>
        <v/>
      </c>
    </row>
    <row r="43">
      <c r="B43" s="19">
        <f>IF(Meses!$C$8+35&gt;=EDATE(Meses!$C$8,10),"",Meses!$C$8+35)</f>
        <v/>
      </c>
      <c r="C43" s="21">
        <f>IF(B43="","",MID("LunMarMiéJueVieSábDom",(WEEKDAY(B43,2)-1)*3+1,3))</f>
        <v/>
      </c>
      <c r="D43" s="22">
        <f>IF(B43="","",IF(AND(WEEKDAY(B43,2)&lt;=5,B43&gt;=Panel!$E$5,B43&lt;=Panel!$G$5),1,0))</f>
        <v/>
      </c>
      <c r="E43" s="22">
        <f>IF(B43="","",IF(D43=1,IF(COUNTIFS(Eventos!$D$8:$D$47,"&lt;="&amp;B43,Eventos!$M$8:$M$47,"&gt;="&amp;B43,Eventos!$I$8:$I$47,"Sí")&gt;0,1,0),0))</f>
        <v/>
      </c>
      <c r="F43" s="22">
        <f>IF(B43="","",D43-E43)</f>
        <v/>
      </c>
      <c r="G43" s="32">
        <f>IF(B43="","",DATE(YEAR(B43),MONTH(B43),1))</f>
        <v/>
      </c>
      <c r="H43" s="22">
        <f>IF(B43="","",COUNTIFS(Eventos!$D$8:$D$47,"&lt;="&amp;B43,Eventos!$M$8:$M$47,"&gt;="&amp;B43))</f>
        <v/>
      </c>
    </row>
    <row r="44">
      <c r="B44" s="19">
        <f>IF(Meses!$C$8+36&gt;=EDATE(Meses!$C$8,10),"",Meses!$C$8+36)</f>
        <v/>
      </c>
      <c r="C44" s="21">
        <f>IF(B44="","",MID("LunMarMiéJueVieSábDom",(WEEKDAY(B44,2)-1)*3+1,3))</f>
        <v/>
      </c>
      <c r="D44" s="22">
        <f>IF(B44="","",IF(AND(WEEKDAY(B44,2)&lt;=5,B44&gt;=Panel!$E$5,B44&lt;=Panel!$G$5),1,0))</f>
        <v/>
      </c>
      <c r="E44" s="22">
        <f>IF(B44="","",IF(D44=1,IF(COUNTIFS(Eventos!$D$8:$D$47,"&lt;="&amp;B44,Eventos!$M$8:$M$47,"&gt;="&amp;B44,Eventos!$I$8:$I$47,"Sí")&gt;0,1,0),0))</f>
        <v/>
      </c>
      <c r="F44" s="22">
        <f>IF(B44="","",D44-E44)</f>
        <v/>
      </c>
      <c r="G44" s="32">
        <f>IF(B44="","",DATE(YEAR(B44),MONTH(B44),1))</f>
        <v/>
      </c>
      <c r="H44" s="22">
        <f>IF(B44="","",COUNTIFS(Eventos!$D$8:$D$47,"&lt;="&amp;B44,Eventos!$M$8:$M$47,"&gt;="&amp;B44))</f>
        <v/>
      </c>
    </row>
    <row r="45">
      <c r="B45" s="19">
        <f>IF(Meses!$C$8+37&gt;=EDATE(Meses!$C$8,10),"",Meses!$C$8+37)</f>
        <v/>
      </c>
      <c r="C45" s="21">
        <f>IF(B45="","",MID("LunMarMiéJueVieSábDom",(WEEKDAY(B45,2)-1)*3+1,3))</f>
        <v/>
      </c>
      <c r="D45" s="22">
        <f>IF(B45="","",IF(AND(WEEKDAY(B45,2)&lt;=5,B45&gt;=Panel!$E$5,B45&lt;=Panel!$G$5),1,0))</f>
        <v/>
      </c>
      <c r="E45" s="22">
        <f>IF(B45="","",IF(D45=1,IF(COUNTIFS(Eventos!$D$8:$D$47,"&lt;="&amp;B45,Eventos!$M$8:$M$47,"&gt;="&amp;B45,Eventos!$I$8:$I$47,"Sí")&gt;0,1,0),0))</f>
        <v/>
      </c>
      <c r="F45" s="22">
        <f>IF(B45="","",D45-E45)</f>
        <v/>
      </c>
      <c r="G45" s="32">
        <f>IF(B45="","",DATE(YEAR(B45),MONTH(B45),1))</f>
        <v/>
      </c>
      <c r="H45" s="22">
        <f>IF(B45="","",COUNTIFS(Eventos!$D$8:$D$47,"&lt;="&amp;B45,Eventos!$M$8:$M$47,"&gt;="&amp;B45))</f>
        <v/>
      </c>
    </row>
    <row r="46">
      <c r="B46" s="19">
        <f>IF(Meses!$C$8+38&gt;=EDATE(Meses!$C$8,10),"",Meses!$C$8+38)</f>
        <v/>
      </c>
      <c r="C46" s="21">
        <f>IF(B46="","",MID("LunMarMiéJueVieSábDom",(WEEKDAY(B46,2)-1)*3+1,3))</f>
        <v/>
      </c>
      <c r="D46" s="22">
        <f>IF(B46="","",IF(AND(WEEKDAY(B46,2)&lt;=5,B46&gt;=Panel!$E$5,B46&lt;=Panel!$G$5),1,0))</f>
        <v/>
      </c>
      <c r="E46" s="22">
        <f>IF(B46="","",IF(D46=1,IF(COUNTIFS(Eventos!$D$8:$D$47,"&lt;="&amp;B46,Eventos!$M$8:$M$47,"&gt;="&amp;B46,Eventos!$I$8:$I$47,"Sí")&gt;0,1,0),0))</f>
        <v/>
      </c>
      <c r="F46" s="22">
        <f>IF(B46="","",D46-E46)</f>
        <v/>
      </c>
      <c r="G46" s="32">
        <f>IF(B46="","",DATE(YEAR(B46),MONTH(B46),1))</f>
        <v/>
      </c>
      <c r="H46" s="22">
        <f>IF(B46="","",COUNTIFS(Eventos!$D$8:$D$47,"&lt;="&amp;B46,Eventos!$M$8:$M$47,"&gt;="&amp;B46))</f>
        <v/>
      </c>
    </row>
    <row r="47">
      <c r="B47" s="19">
        <f>IF(Meses!$C$8+39&gt;=EDATE(Meses!$C$8,10),"",Meses!$C$8+39)</f>
        <v/>
      </c>
      <c r="C47" s="21">
        <f>IF(B47="","",MID("LunMarMiéJueVieSábDom",(WEEKDAY(B47,2)-1)*3+1,3))</f>
        <v/>
      </c>
      <c r="D47" s="22">
        <f>IF(B47="","",IF(AND(WEEKDAY(B47,2)&lt;=5,B47&gt;=Panel!$E$5,B47&lt;=Panel!$G$5),1,0))</f>
        <v/>
      </c>
      <c r="E47" s="22">
        <f>IF(B47="","",IF(D47=1,IF(COUNTIFS(Eventos!$D$8:$D$47,"&lt;="&amp;B47,Eventos!$M$8:$M$47,"&gt;="&amp;B47,Eventos!$I$8:$I$47,"Sí")&gt;0,1,0),0))</f>
        <v/>
      </c>
      <c r="F47" s="22">
        <f>IF(B47="","",D47-E47)</f>
        <v/>
      </c>
      <c r="G47" s="32">
        <f>IF(B47="","",DATE(YEAR(B47),MONTH(B47),1))</f>
        <v/>
      </c>
      <c r="H47" s="22">
        <f>IF(B47="","",COUNTIFS(Eventos!$D$8:$D$47,"&lt;="&amp;B47,Eventos!$M$8:$M$47,"&gt;="&amp;B47))</f>
        <v/>
      </c>
    </row>
    <row r="48">
      <c r="B48" s="19">
        <f>IF(Meses!$C$8+40&gt;=EDATE(Meses!$C$8,10),"",Meses!$C$8+40)</f>
        <v/>
      </c>
      <c r="C48" s="21">
        <f>IF(B48="","",MID("LunMarMiéJueVieSábDom",(WEEKDAY(B48,2)-1)*3+1,3))</f>
        <v/>
      </c>
      <c r="D48" s="22">
        <f>IF(B48="","",IF(AND(WEEKDAY(B48,2)&lt;=5,B48&gt;=Panel!$E$5,B48&lt;=Panel!$G$5),1,0))</f>
        <v/>
      </c>
      <c r="E48" s="22">
        <f>IF(B48="","",IF(D48=1,IF(COUNTIFS(Eventos!$D$8:$D$47,"&lt;="&amp;B48,Eventos!$M$8:$M$47,"&gt;="&amp;B48,Eventos!$I$8:$I$47,"Sí")&gt;0,1,0),0))</f>
        <v/>
      </c>
      <c r="F48" s="22">
        <f>IF(B48="","",D48-E48)</f>
        <v/>
      </c>
      <c r="G48" s="32">
        <f>IF(B48="","",DATE(YEAR(B48),MONTH(B48),1))</f>
        <v/>
      </c>
      <c r="H48" s="22">
        <f>IF(B48="","",COUNTIFS(Eventos!$D$8:$D$47,"&lt;="&amp;B48,Eventos!$M$8:$M$47,"&gt;="&amp;B48))</f>
        <v/>
      </c>
    </row>
    <row r="49">
      <c r="B49" s="19">
        <f>IF(Meses!$C$8+41&gt;=EDATE(Meses!$C$8,10),"",Meses!$C$8+41)</f>
        <v/>
      </c>
      <c r="C49" s="21">
        <f>IF(B49="","",MID("LunMarMiéJueVieSábDom",(WEEKDAY(B49,2)-1)*3+1,3))</f>
        <v/>
      </c>
      <c r="D49" s="22">
        <f>IF(B49="","",IF(AND(WEEKDAY(B49,2)&lt;=5,B49&gt;=Panel!$E$5,B49&lt;=Panel!$G$5),1,0))</f>
        <v/>
      </c>
      <c r="E49" s="22">
        <f>IF(B49="","",IF(D49=1,IF(COUNTIFS(Eventos!$D$8:$D$47,"&lt;="&amp;B49,Eventos!$M$8:$M$47,"&gt;="&amp;B49,Eventos!$I$8:$I$47,"Sí")&gt;0,1,0),0))</f>
        <v/>
      </c>
      <c r="F49" s="22">
        <f>IF(B49="","",D49-E49)</f>
        <v/>
      </c>
      <c r="G49" s="32">
        <f>IF(B49="","",DATE(YEAR(B49),MONTH(B49),1))</f>
        <v/>
      </c>
      <c r="H49" s="22">
        <f>IF(B49="","",COUNTIFS(Eventos!$D$8:$D$47,"&lt;="&amp;B49,Eventos!$M$8:$M$47,"&gt;="&amp;B49))</f>
        <v/>
      </c>
    </row>
    <row r="50">
      <c r="B50" s="19">
        <f>IF(Meses!$C$8+42&gt;=EDATE(Meses!$C$8,10),"",Meses!$C$8+42)</f>
        <v/>
      </c>
      <c r="C50" s="21">
        <f>IF(B50="","",MID("LunMarMiéJueVieSábDom",(WEEKDAY(B50,2)-1)*3+1,3))</f>
        <v/>
      </c>
      <c r="D50" s="22">
        <f>IF(B50="","",IF(AND(WEEKDAY(B50,2)&lt;=5,B50&gt;=Panel!$E$5,B50&lt;=Panel!$G$5),1,0))</f>
        <v/>
      </c>
      <c r="E50" s="22">
        <f>IF(B50="","",IF(D50=1,IF(COUNTIFS(Eventos!$D$8:$D$47,"&lt;="&amp;B50,Eventos!$M$8:$M$47,"&gt;="&amp;B50,Eventos!$I$8:$I$47,"Sí")&gt;0,1,0),0))</f>
        <v/>
      </c>
      <c r="F50" s="22">
        <f>IF(B50="","",D50-E50)</f>
        <v/>
      </c>
      <c r="G50" s="32">
        <f>IF(B50="","",DATE(YEAR(B50),MONTH(B50),1))</f>
        <v/>
      </c>
      <c r="H50" s="22">
        <f>IF(B50="","",COUNTIFS(Eventos!$D$8:$D$47,"&lt;="&amp;B50,Eventos!$M$8:$M$47,"&gt;="&amp;B50))</f>
        <v/>
      </c>
    </row>
    <row r="51">
      <c r="B51" s="19">
        <f>IF(Meses!$C$8+43&gt;=EDATE(Meses!$C$8,10),"",Meses!$C$8+43)</f>
        <v/>
      </c>
      <c r="C51" s="21">
        <f>IF(B51="","",MID("LunMarMiéJueVieSábDom",(WEEKDAY(B51,2)-1)*3+1,3))</f>
        <v/>
      </c>
      <c r="D51" s="22">
        <f>IF(B51="","",IF(AND(WEEKDAY(B51,2)&lt;=5,B51&gt;=Panel!$E$5,B51&lt;=Panel!$G$5),1,0))</f>
        <v/>
      </c>
      <c r="E51" s="22">
        <f>IF(B51="","",IF(D51=1,IF(COUNTIFS(Eventos!$D$8:$D$47,"&lt;="&amp;B51,Eventos!$M$8:$M$47,"&gt;="&amp;B51,Eventos!$I$8:$I$47,"Sí")&gt;0,1,0),0))</f>
        <v/>
      </c>
      <c r="F51" s="22">
        <f>IF(B51="","",D51-E51)</f>
        <v/>
      </c>
      <c r="G51" s="32">
        <f>IF(B51="","",DATE(YEAR(B51),MONTH(B51),1))</f>
        <v/>
      </c>
      <c r="H51" s="22">
        <f>IF(B51="","",COUNTIFS(Eventos!$D$8:$D$47,"&lt;="&amp;B51,Eventos!$M$8:$M$47,"&gt;="&amp;B51))</f>
        <v/>
      </c>
    </row>
    <row r="52">
      <c r="B52" s="19">
        <f>IF(Meses!$C$8+44&gt;=EDATE(Meses!$C$8,10),"",Meses!$C$8+44)</f>
        <v/>
      </c>
      <c r="C52" s="21">
        <f>IF(B52="","",MID("LunMarMiéJueVieSábDom",(WEEKDAY(B52,2)-1)*3+1,3))</f>
        <v/>
      </c>
      <c r="D52" s="22">
        <f>IF(B52="","",IF(AND(WEEKDAY(B52,2)&lt;=5,B52&gt;=Panel!$E$5,B52&lt;=Panel!$G$5),1,0))</f>
        <v/>
      </c>
      <c r="E52" s="22">
        <f>IF(B52="","",IF(D52=1,IF(COUNTIFS(Eventos!$D$8:$D$47,"&lt;="&amp;B52,Eventos!$M$8:$M$47,"&gt;="&amp;B52,Eventos!$I$8:$I$47,"Sí")&gt;0,1,0),0))</f>
        <v/>
      </c>
      <c r="F52" s="22">
        <f>IF(B52="","",D52-E52)</f>
        <v/>
      </c>
      <c r="G52" s="32">
        <f>IF(B52="","",DATE(YEAR(B52),MONTH(B52),1))</f>
        <v/>
      </c>
      <c r="H52" s="22">
        <f>IF(B52="","",COUNTIFS(Eventos!$D$8:$D$47,"&lt;="&amp;B52,Eventos!$M$8:$M$47,"&gt;="&amp;B52))</f>
        <v/>
      </c>
    </row>
    <row r="53">
      <c r="B53" s="19">
        <f>IF(Meses!$C$8+45&gt;=EDATE(Meses!$C$8,10),"",Meses!$C$8+45)</f>
        <v/>
      </c>
      <c r="C53" s="21">
        <f>IF(B53="","",MID("LunMarMiéJueVieSábDom",(WEEKDAY(B53,2)-1)*3+1,3))</f>
        <v/>
      </c>
      <c r="D53" s="22">
        <f>IF(B53="","",IF(AND(WEEKDAY(B53,2)&lt;=5,B53&gt;=Panel!$E$5,B53&lt;=Panel!$G$5),1,0))</f>
        <v/>
      </c>
      <c r="E53" s="22">
        <f>IF(B53="","",IF(D53=1,IF(COUNTIFS(Eventos!$D$8:$D$47,"&lt;="&amp;B53,Eventos!$M$8:$M$47,"&gt;="&amp;B53,Eventos!$I$8:$I$47,"Sí")&gt;0,1,0),0))</f>
        <v/>
      </c>
      <c r="F53" s="22">
        <f>IF(B53="","",D53-E53)</f>
        <v/>
      </c>
      <c r="G53" s="32">
        <f>IF(B53="","",DATE(YEAR(B53),MONTH(B53),1))</f>
        <v/>
      </c>
      <c r="H53" s="22">
        <f>IF(B53="","",COUNTIFS(Eventos!$D$8:$D$47,"&lt;="&amp;B53,Eventos!$M$8:$M$47,"&gt;="&amp;B53))</f>
        <v/>
      </c>
    </row>
    <row r="54">
      <c r="B54" s="19">
        <f>IF(Meses!$C$8+46&gt;=EDATE(Meses!$C$8,10),"",Meses!$C$8+46)</f>
        <v/>
      </c>
      <c r="C54" s="21">
        <f>IF(B54="","",MID("LunMarMiéJueVieSábDom",(WEEKDAY(B54,2)-1)*3+1,3))</f>
        <v/>
      </c>
      <c r="D54" s="22">
        <f>IF(B54="","",IF(AND(WEEKDAY(B54,2)&lt;=5,B54&gt;=Panel!$E$5,B54&lt;=Panel!$G$5),1,0))</f>
        <v/>
      </c>
      <c r="E54" s="22">
        <f>IF(B54="","",IF(D54=1,IF(COUNTIFS(Eventos!$D$8:$D$47,"&lt;="&amp;B54,Eventos!$M$8:$M$47,"&gt;="&amp;B54,Eventos!$I$8:$I$47,"Sí")&gt;0,1,0),0))</f>
        <v/>
      </c>
      <c r="F54" s="22">
        <f>IF(B54="","",D54-E54)</f>
        <v/>
      </c>
      <c r="G54" s="32">
        <f>IF(B54="","",DATE(YEAR(B54),MONTH(B54),1))</f>
        <v/>
      </c>
      <c r="H54" s="22">
        <f>IF(B54="","",COUNTIFS(Eventos!$D$8:$D$47,"&lt;="&amp;B54,Eventos!$M$8:$M$47,"&gt;="&amp;B54))</f>
        <v/>
      </c>
    </row>
    <row r="55">
      <c r="B55" s="19">
        <f>IF(Meses!$C$8+47&gt;=EDATE(Meses!$C$8,10),"",Meses!$C$8+47)</f>
        <v/>
      </c>
      <c r="C55" s="21">
        <f>IF(B55="","",MID("LunMarMiéJueVieSábDom",(WEEKDAY(B55,2)-1)*3+1,3))</f>
        <v/>
      </c>
      <c r="D55" s="22">
        <f>IF(B55="","",IF(AND(WEEKDAY(B55,2)&lt;=5,B55&gt;=Panel!$E$5,B55&lt;=Panel!$G$5),1,0))</f>
        <v/>
      </c>
      <c r="E55" s="22">
        <f>IF(B55="","",IF(D55=1,IF(COUNTIFS(Eventos!$D$8:$D$47,"&lt;="&amp;B55,Eventos!$M$8:$M$47,"&gt;="&amp;B55,Eventos!$I$8:$I$47,"Sí")&gt;0,1,0),0))</f>
        <v/>
      </c>
      <c r="F55" s="22">
        <f>IF(B55="","",D55-E55)</f>
        <v/>
      </c>
      <c r="G55" s="32">
        <f>IF(B55="","",DATE(YEAR(B55),MONTH(B55),1))</f>
        <v/>
      </c>
      <c r="H55" s="22">
        <f>IF(B55="","",COUNTIFS(Eventos!$D$8:$D$47,"&lt;="&amp;B55,Eventos!$M$8:$M$47,"&gt;="&amp;B55))</f>
        <v/>
      </c>
    </row>
    <row r="56">
      <c r="B56" s="19">
        <f>IF(Meses!$C$8+48&gt;=EDATE(Meses!$C$8,10),"",Meses!$C$8+48)</f>
        <v/>
      </c>
      <c r="C56" s="21">
        <f>IF(B56="","",MID("LunMarMiéJueVieSábDom",(WEEKDAY(B56,2)-1)*3+1,3))</f>
        <v/>
      </c>
      <c r="D56" s="22">
        <f>IF(B56="","",IF(AND(WEEKDAY(B56,2)&lt;=5,B56&gt;=Panel!$E$5,B56&lt;=Panel!$G$5),1,0))</f>
        <v/>
      </c>
      <c r="E56" s="22">
        <f>IF(B56="","",IF(D56=1,IF(COUNTIFS(Eventos!$D$8:$D$47,"&lt;="&amp;B56,Eventos!$M$8:$M$47,"&gt;="&amp;B56,Eventos!$I$8:$I$47,"Sí")&gt;0,1,0),0))</f>
        <v/>
      </c>
      <c r="F56" s="22">
        <f>IF(B56="","",D56-E56)</f>
        <v/>
      </c>
      <c r="G56" s="32">
        <f>IF(B56="","",DATE(YEAR(B56),MONTH(B56),1))</f>
        <v/>
      </c>
      <c r="H56" s="22">
        <f>IF(B56="","",COUNTIFS(Eventos!$D$8:$D$47,"&lt;="&amp;B56,Eventos!$M$8:$M$47,"&gt;="&amp;B56))</f>
        <v/>
      </c>
    </row>
    <row r="57">
      <c r="B57" s="19">
        <f>IF(Meses!$C$8+49&gt;=EDATE(Meses!$C$8,10),"",Meses!$C$8+49)</f>
        <v/>
      </c>
      <c r="C57" s="21">
        <f>IF(B57="","",MID("LunMarMiéJueVieSábDom",(WEEKDAY(B57,2)-1)*3+1,3))</f>
        <v/>
      </c>
      <c r="D57" s="22">
        <f>IF(B57="","",IF(AND(WEEKDAY(B57,2)&lt;=5,B57&gt;=Panel!$E$5,B57&lt;=Panel!$G$5),1,0))</f>
        <v/>
      </c>
      <c r="E57" s="22">
        <f>IF(B57="","",IF(D57=1,IF(COUNTIFS(Eventos!$D$8:$D$47,"&lt;="&amp;B57,Eventos!$M$8:$M$47,"&gt;="&amp;B57,Eventos!$I$8:$I$47,"Sí")&gt;0,1,0),0))</f>
        <v/>
      </c>
      <c r="F57" s="22">
        <f>IF(B57="","",D57-E57)</f>
        <v/>
      </c>
      <c r="G57" s="32">
        <f>IF(B57="","",DATE(YEAR(B57),MONTH(B57),1))</f>
        <v/>
      </c>
      <c r="H57" s="22">
        <f>IF(B57="","",COUNTIFS(Eventos!$D$8:$D$47,"&lt;="&amp;B57,Eventos!$M$8:$M$47,"&gt;="&amp;B57))</f>
        <v/>
      </c>
    </row>
    <row r="58">
      <c r="B58" s="19">
        <f>IF(Meses!$C$8+50&gt;=EDATE(Meses!$C$8,10),"",Meses!$C$8+50)</f>
        <v/>
      </c>
      <c r="C58" s="21">
        <f>IF(B58="","",MID("LunMarMiéJueVieSábDom",(WEEKDAY(B58,2)-1)*3+1,3))</f>
        <v/>
      </c>
      <c r="D58" s="22">
        <f>IF(B58="","",IF(AND(WEEKDAY(B58,2)&lt;=5,B58&gt;=Panel!$E$5,B58&lt;=Panel!$G$5),1,0))</f>
        <v/>
      </c>
      <c r="E58" s="22">
        <f>IF(B58="","",IF(D58=1,IF(COUNTIFS(Eventos!$D$8:$D$47,"&lt;="&amp;B58,Eventos!$M$8:$M$47,"&gt;="&amp;B58,Eventos!$I$8:$I$47,"Sí")&gt;0,1,0),0))</f>
        <v/>
      </c>
      <c r="F58" s="22">
        <f>IF(B58="","",D58-E58)</f>
        <v/>
      </c>
      <c r="G58" s="32">
        <f>IF(B58="","",DATE(YEAR(B58),MONTH(B58),1))</f>
        <v/>
      </c>
      <c r="H58" s="22">
        <f>IF(B58="","",COUNTIFS(Eventos!$D$8:$D$47,"&lt;="&amp;B58,Eventos!$M$8:$M$47,"&gt;="&amp;B58))</f>
        <v/>
      </c>
    </row>
    <row r="59">
      <c r="B59" s="19">
        <f>IF(Meses!$C$8+51&gt;=EDATE(Meses!$C$8,10),"",Meses!$C$8+51)</f>
        <v/>
      </c>
      <c r="C59" s="21">
        <f>IF(B59="","",MID("LunMarMiéJueVieSábDom",(WEEKDAY(B59,2)-1)*3+1,3))</f>
        <v/>
      </c>
      <c r="D59" s="22">
        <f>IF(B59="","",IF(AND(WEEKDAY(B59,2)&lt;=5,B59&gt;=Panel!$E$5,B59&lt;=Panel!$G$5),1,0))</f>
        <v/>
      </c>
      <c r="E59" s="22">
        <f>IF(B59="","",IF(D59=1,IF(COUNTIFS(Eventos!$D$8:$D$47,"&lt;="&amp;B59,Eventos!$M$8:$M$47,"&gt;="&amp;B59,Eventos!$I$8:$I$47,"Sí")&gt;0,1,0),0))</f>
        <v/>
      </c>
      <c r="F59" s="22">
        <f>IF(B59="","",D59-E59)</f>
        <v/>
      </c>
      <c r="G59" s="32">
        <f>IF(B59="","",DATE(YEAR(B59),MONTH(B59),1))</f>
        <v/>
      </c>
      <c r="H59" s="22">
        <f>IF(B59="","",COUNTIFS(Eventos!$D$8:$D$47,"&lt;="&amp;B59,Eventos!$M$8:$M$47,"&gt;="&amp;B59))</f>
        <v/>
      </c>
    </row>
    <row r="60">
      <c r="B60" s="19">
        <f>IF(Meses!$C$8+52&gt;=EDATE(Meses!$C$8,10),"",Meses!$C$8+52)</f>
        <v/>
      </c>
      <c r="C60" s="21">
        <f>IF(B60="","",MID("LunMarMiéJueVieSábDom",(WEEKDAY(B60,2)-1)*3+1,3))</f>
        <v/>
      </c>
      <c r="D60" s="22">
        <f>IF(B60="","",IF(AND(WEEKDAY(B60,2)&lt;=5,B60&gt;=Panel!$E$5,B60&lt;=Panel!$G$5),1,0))</f>
        <v/>
      </c>
      <c r="E60" s="22">
        <f>IF(B60="","",IF(D60=1,IF(COUNTIFS(Eventos!$D$8:$D$47,"&lt;="&amp;B60,Eventos!$M$8:$M$47,"&gt;="&amp;B60,Eventos!$I$8:$I$47,"Sí")&gt;0,1,0),0))</f>
        <v/>
      </c>
      <c r="F60" s="22">
        <f>IF(B60="","",D60-E60)</f>
        <v/>
      </c>
      <c r="G60" s="32">
        <f>IF(B60="","",DATE(YEAR(B60),MONTH(B60),1))</f>
        <v/>
      </c>
      <c r="H60" s="22">
        <f>IF(B60="","",COUNTIFS(Eventos!$D$8:$D$47,"&lt;="&amp;B60,Eventos!$M$8:$M$47,"&gt;="&amp;B60))</f>
        <v/>
      </c>
    </row>
    <row r="61">
      <c r="B61" s="19">
        <f>IF(Meses!$C$8+53&gt;=EDATE(Meses!$C$8,10),"",Meses!$C$8+53)</f>
        <v/>
      </c>
      <c r="C61" s="21">
        <f>IF(B61="","",MID("LunMarMiéJueVieSábDom",(WEEKDAY(B61,2)-1)*3+1,3))</f>
        <v/>
      </c>
      <c r="D61" s="22">
        <f>IF(B61="","",IF(AND(WEEKDAY(B61,2)&lt;=5,B61&gt;=Panel!$E$5,B61&lt;=Panel!$G$5),1,0))</f>
        <v/>
      </c>
      <c r="E61" s="22">
        <f>IF(B61="","",IF(D61=1,IF(COUNTIFS(Eventos!$D$8:$D$47,"&lt;="&amp;B61,Eventos!$M$8:$M$47,"&gt;="&amp;B61,Eventos!$I$8:$I$47,"Sí")&gt;0,1,0),0))</f>
        <v/>
      </c>
      <c r="F61" s="22">
        <f>IF(B61="","",D61-E61)</f>
        <v/>
      </c>
      <c r="G61" s="32">
        <f>IF(B61="","",DATE(YEAR(B61),MONTH(B61),1))</f>
        <v/>
      </c>
      <c r="H61" s="22">
        <f>IF(B61="","",COUNTIFS(Eventos!$D$8:$D$47,"&lt;="&amp;B61,Eventos!$M$8:$M$47,"&gt;="&amp;B61))</f>
        <v/>
      </c>
    </row>
    <row r="62">
      <c r="B62" s="19">
        <f>IF(Meses!$C$8+54&gt;=EDATE(Meses!$C$8,10),"",Meses!$C$8+54)</f>
        <v/>
      </c>
      <c r="C62" s="21">
        <f>IF(B62="","",MID("LunMarMiéJueVieSábDom",(WEEKDAY(B62,2)-1)*3+1,3))</f>
        <v/>
      </c>
      <c r="D62" s="22">
        <f>IF(B62="","",IF(AND(WEEKDAY(B62,2)&lt;=5,B62&gt;=Panel!$E$5,B62&lt;=Panel!$G$5),1,0))</f>
        <v/>
      </c>
      <c r="E62" s="22">
        <f>IF(B62="","",IF(D62=1,IF(COUNTIFS(Eventos!$D$8:$D$47,"&lt;="&amp;B62,Eventos!$M$8:$M$47,"&gt;="&amp;B62,Eventos!$I$8:$I$47,"Sí")&gt;0,1,0),0))</f>
        <v/>
      </c>
      <c r="F62" s="22">
        <f>IF(B62="","",D62-E62)</f>
        <v/>
      </c>
      <c r="G62" s="32">
        <f>IF(B62="","",DATE(YEAR(B62),MONTH(B62),1))</f>
        <v/>
      </c>
      <c r="H62" s="22">
        <f>IF(B62="","",COUNTIFS(Eventos!$D$8:$D$47,"&lt;="&amp;B62,Eventos!$M$8:$M$47,"&gt;="&amp;B62))</f>
        <v/>
      </c>
    </row>
    <row r="63">
      <c r="B63" s="19">
        <f>IF(Meses!$C$8+55&gt;=EDATE(Meses!$C$8,10),"",Meses!$C$8+55)</f>
        <v/>
      </c>
      <c r="C63" s="21">
        <f>IF(B63="","",MID("LunMarMiéJueVieSábDom",(WEEKDAY(B63,2)-1)*3+1,3))</f>
        <v/>
      </c>
      <c r="D63" s="22">
        <f>IF(B63="","",IF(AND(WEEKDAY(B63,2)&lt;=5,B63&gt;=Panel!$E$5,B63&lt;=Panel!$G$5),1,0))</f>
        <v/>
      </c>
      <c r="E63" s="22">
        <f>IF(B63="","",IF(D63=1,IF(COUNTIFS(Eventos!$D$8:$D$47,"&lt;="&amp;B63,Eventos!$M$8:$M$47,"&gt;="&amp;B63,Eventos!$I$8:$I$47,"Sí")&gt;0,1,0),0))</f>
        <v/>
      </c>
      <c r="F63" s="22">
        <f>IF(B63="","",D63-E63)</f>
        <v/>
      </c>
      <c r="G63" s="32">
        <f>IF(B63="","",DATE(YEAR(B63),MONTH(B63),1))</f>
        <v/>
      </c>
      <c r="H63" s="22">
        <f>IF(B63="","",COUNTIFS(Eventos!$D$8:$D$47,"&lt;="&amp;B63,Eventos!$M$8:$M$47,"&gt;="&amp;B63))</f>
        <v/>
      </c>
    </row>
    <row r="64">
      <c r="B64" s="19">
        <f>IF(Meses!$C$8+56&gt;=EDATE(Meses!$C$8,10),"",Meses!$C$8+56)</f>
        <v/>
      </c>
      <c r="C64" s="21">
        <f>IF(B64="","",MID("LunMarMiéJueVieSábDom",(WEEKDAY(B64,2)-1)*3+1,3))</f>
        <v/>
      </c>
      <c r="D64" s="22">
        <f>IF(B64="","",IF(AND(WEEKDAY(B64,2)&lt;=5,B64&gt;=Panel!$E$5,B64&lt;=Panel!$G$5),1,0))</f>
        <v/>
      </c>
      <c r="E64" s="22">
        <f>IF(B64="","",IF(D64=1,IF(COUNTIFS(Eventos!$D$8:$D$47,"&lt;="&amp;B64,Eventos!$M$8:$M$47,"&gt;="&amp;B64,Eventos!$I$8:$I$47,"Sí")&gt;0,1,0),0))</f>
        <v/>
      </c>
      <c r="F64" s="22">
        <f>IF(B64="","",D64-E64)</f>
        <v/>
      </c>
      <c r="G64" s="32">
        <f>IF(B64="","",DATE(YEAR(B64),MONTH(B64),1))</f>
        <v/>
      </c>
      <c r="H64" s="22">
        <f>IF(B64="","",COUNTIFS(Eventos!$D$8:$D$47,"&lt;="&amp;B64,Eventos!$M$8:$M$47,"&gt;="&amp;B64))</f>
        <v/>
      </c>
    </row>
    <row r="65">
      <c r="B65" s="19">
        <f>IF(Meses!$C$8+57&gt;=EDATE(Meses!$C$8,10),"",Meses!$C$8+57)</f>
        <v/>
      </c>
      <c r="C65" s="21">
        <f>IF(B65="","",MID("LunMarMiéJueVieSábDom",(WEEKDAY(B65,2)-1)*3+1,3))</f>
        <v/>
      </c>
      <c r="D65" s="22">
        <f>IF(B65="","",IF(AND(WEEKDAY(B65,2)&lt;=5,B65&gt;=Panel!$E$5,B65&lt;=Panel!$G$5),1,0))</f>
        <v/>
      </c>
      <c r="E65" s="22">
        <f>IF(B65="","",IF(D65=1,IF(COUNTIFS(Eventos!$D$8:$D$47,"&lt;="&amp;B65,Eventos!$M$8:$M$47,"&gt;="&amp;B65,Eventos!$I$8:$I$47,"Sí")&gt;0,1,0),0))</f>
        <v/>
      </c>
      <c r="F65" s="22">
        <f>IF(B65="","",D65-E65)</f>
        <v/>
      </c>
      <c r="G65" s="32">
        <f>IF(B65="","",DATE(YEAR(B65),MONTH(B65),1))</f>
        <v/>
      </c>
      <c r="H65" s="22">
        <f>IF(B65="","",COUNTIFS(Eventos!$D$8:$D$47,"&lt;="&amp;B65,Eventos!$M$8:$M$47,"&gt;="&amp;B65))</f>
        <v/>
      </c>
    </row>
    <row r="66">
      <c r="B66" s="19">
        <f>IF(Meses!$C$8+58&gt;=EDATE(Meses!$C$8,10),"",Meses!$C$8+58)</f>
        <v/>
      </c>
      <c r="C66" s="21">
        <f>IF(B66="","",MID("LunMarMiéJueVieSábDom",(WEEKDAY(B66,2)-1)*3+1,3))</f>
        <v/>
      </c>
      <c r="D66" s="22">
        <f>IF(B66="","",IF(AND(WEEKDAY(B66,2)&lt;=5,B66&gt;=Panel!$E$5,B66&lt;=Panel!$G$5),1,0))</f>
        <v/>
      </c>
      <c r="E66" s="22">
        <f>IF(B66="","",IF(D66=1,IF(COUNTIFS(Eventos!$D$8:$D$47,"&lt;="&amp;B66,Eventos!$M$8:$M$47,"&gt;="&amp;B66,Eventos!$I$8:$I$47,"Sí")&gt;0,1,0),0))</f>
        <v/>
      </c>
      <c r="F66" s="22">
        <f>IF(B66="","",D66-E66)</f>
        <v/>
      </c>
      <c r="G66" s="32">
        <f>IF(B66="","",DATE(YEAR(B66),MONTH(B66),1))</f>
        <v/>
      </c>
      <c r="H66" s="22">
        <f>IF(B66="","",COUNTIFS(Eventos!$D$8:$D$47,"&lt;="&amp;B66,Eventos!$M$8:$M$47,"&gt;="&amp;B66))</f>
        <v/>
      </c>
    </row>
    <row r="67">
      <c r="B67" s="19">
        <f>IF(Meses!$C$8+59&gt;=EDATE(Meses!$C$8,10),"",Meses!$C$8+59)</f>
        <v/>
      </c>
      <c r="C67" s="21">
        <f>IF(B67="","",MID("LunMarMiéJueVieSábDom",(WEEKDAY(B67,2)-1)*3+1,3))</f>
        <v/>
      </c>
      <c r="D67" s="22">
        <f>IF(B67="","",IF(AND(WEEKDAY(B67,2)&lt;=5,B67&gt;=Panel!$E$5,B67&lt;=Panel!$G$5),1,0))</f>
        <v/>
      </c>
      <c r="E67" s="22">
        <f>IF(B67="","",IF(D67=1,IF(COUNTIFS(Eventos!$D$8:$D$47,"&lt;="&amp;B67,Eventos!$M$8:$M$47,"&gt;="&amp;B67,Eventos!$I$8:$I$47,"Sí")&gt;0,1,0),0))</f>
        <v/>
      </c>
      <c r="F67" s="22">
        <f>IF(B67="","",D67-E67)</f>
        <v/>
      </c>
      <c r="G67" s="32">
        <f>IF(B67="","",DATE(YEAR(B67),MONTH(B67),1))</f>
        <v/>
      </c>
      <c r="H67" s="22">
        <f>IF(B67="","",COUNTIFS(Eventos!$D$8:$D$47,"&lt;="&amp;B67,Eventos!$M$8:$M$47,"&gt;="&amp;B67))</f>
        <v/>
      </c>
    </row>
    <row r="68">
      <c r="B68" s="19">
        <f>IF(Meses!$C$8+60&gt;=EDATE(Meses!$C$8,10),"",Meses!$C$8+60)</f>
        <v/>
      </c>
      <c r="C68" s="21">
        <f>IF(B68="","",MID("LunMarMiéJueVieSábDom",(WEEKDAY(B68,2)-1)*3+1,3))</f>
        <v/>
      </c>
      <c r="D68" s="22">
        <f>IF(B68="","",IF(AND(WEEKDAY(B68,2)&lt;=5,B68&gt;=Panel!$E$5,B68&lt;=Panel!$G$5),1,0))</f>
        <v/>
      </c>
      <c r="E68" s="22">
        <f>IF(B68="","",IF(D68=1,IF(COUNTIFS(Eventos!$D$8:$D$47,"&lt;="&amp;B68,Eventos!$M$8:$M$47,"&gt;="&amp;B68,Eventos!$I$8:$I$47,"Sí")&gt;0,1,0),0))</f>
        <v/>
      </c>
      <c r="F68" s="22">
        <f>IF(B68="","",D68-E68)</f>
        <v/>
      </c>
      <c r="G68" s="32">
        <f>IF(B68="","",DATE(YEAR(B68),MONTH(B68),1))</f>
        <v/>
      </c>
      <c r="H68" s="22">
        <f>IF(B68="","",COUNTIFS(Eventos!$D$8:$D$47,"&lt;="&amp;B68,Eventos!$M$8:$M$47,"&gt;="&amp;B68))</f>
        <v/>
      </c>
    </row>
    <row r="69">
      <c r="B69" s="19">
        <f>IF(Meses!$C$8+61&gt;=EDATE(Meses!$C$8,10),"",Meses!$C$8+61)</f>
        <v/>
      </c>
      <c r="C69" s="21">
        <f>IF(B69="","",MID("LunMarMiéJueVieSábDom",(WEEKDAY(B69,2)-1)*3+1,3))</f>
        <v/>
      </c>
      <c r="D69" s="22">
        <f>IF(B69="","",IF(AND(WEEKDAY(B69,2)&lt;=5,B69&gt;=Panel!$E$5,B69&lt;=Panel!$G$5),1,0))</f>
        <v/>
      </c>
      <c r="E69" s="22">
        <f>IF(B69="","",IF(D69=1,IF(COUNTIFS(Eventos!$D$8:$D$47,"&lt;="&amp;B69,Eventos!$M$8:$M$47,"&gt;="&amp;B69,Eventos!$I$8:$I$47,"Sí")&gt;0,1,0),0))</f>
        <v/>
      </c>
      <c r="F69" s="22">
        <f>IF(B69="","",D69-E69)</f>
        <v/>
      </c>
      <c r="G69" s="32">
        <f>IF(B69="","",DATE(YEAR(B69),MONTH(B69),1))</f>
        <v/>
      </c>
      <c r="H69" s="22">
        <f>IF(B69="","",COUNTIFS(Eventos!$D$8:$D$47,"&lt;="&amp;B69,Eventos!$M$8:$M$47,"&gt;="&amp;B69))</f>
        <v/>
      </c>
    </row>
    <row r="70">
      <c r="B70" s="19">
        <f>IF(Meses!$C$8+62&gt;=EDATE(Meses!$C$8,10),"",Meses!$C$8+62)</f>
        <v/>
      </c>
      <c r="C70" s="21">
        <f>IF(B70="","",MID("LunMarMiéJueVieSábDom",(WEEKDAY(B70,2)-1)*3+1,3))</f>
        <v/>
      </c>
      <c r="D70" s="22">
        <f>IF(B70="","",IF(AND(WEEKDAY(B70,2)&lt;=5,B70&gt;=Panel!$E$5,B70&lt;=Panel!$G$5),1,0))</f>
        <v/>
      </c>
      <c r="E70" s="22">
        <f>IF(B70="","",IF(D70=1,IF(COUNTIFS(Eventos!$D$8:$D$47,"&lt;="&amp;B70,Eventos!$M$8:$M$47,"&gt;="&amp;B70,Eventos!$I$8:$I$47,"Sí")&gt;0,1,0),0))</f>
        <v/>
      </c>
      <c r="F70" s="22">
        <f>IF(B70="","",D70-E70)</f>
        <v/>
      </c>
      <c r="G70" s="32">
        <f>IF(B70="","",DATE(YEAR(B70),MONTH(B70),1))</f>
        <v/>
      </c>
      <c r="H70" s="22">
        <f>IF(B70="","",COUNTIFS(Eventos!$D$8:$D$47,"&lt;="&amp;B70,Eventos!$M$8:$M$47,"&gt;="&amp;B70))</f>
        <v/>
      </c>
    </row>
    <row r="71">
      <c r="B71" s="19">
        <f>IF(Meses!$C$8+63&gt;=EDATE(Meses!$C$8,10),"",Meses!$C$8+63)</f>
        <v/>
      </c>
      <c r="C71" s="21">
        <f>IF(B71="","",MID("LunMarMiéJueVieSábDom",(WEEKDAY(B71,2)-1)*3+1,3))</f>
        <v/>
      </c>
      <c r="D71" s="22">
        <f>IF(B71="","",IF(AND(WEEKDAY(B71,2)&lt;=5,B71&gt;=Panel!$E$5,B71&lt;=Panel!$G$5),1,0))</f>
        <v/>
      </c>
      <c r="E71" s="22">
        <f>IF(B71="","",IF(D71=1,IF(COUNTIFS(Eventos!$D$8:$D$47,"&lt;="&amp;B71,Eventos!$M$8:$M$47,"&gt;="&amp;B71,Eventos!$I$8:$I$47,"Sí")&gt;0,1,0),0))</f>
        <v/>
      </c>
      <c r="F71" s="22">
        <f>IF(B71="","",D71-E71)</f>
        <v/>
      </c>
      <c r="G71" s="32">
        <f>IF(B71="","",DATE(YEAR(B71),MONTH(B71),1))</f>
        <v/>
      </c>
      <c r="H71" s="22">
        <f>IF(B71="","",COUNTIFS(Eventos!$D$8:$D$47,"&lt;="&amp;B71,Eventos!$M$8:$M$47,"&gt;="&amp;B71))</f>
        <v/>
      </c>
    </row>
    <row r="72">
      <c r="B72" s="19">
        <f>IF(Meses!$C$8+64&gt;=EDATE(Meses!$C$8,10),"",Meses!$C$8+64)</f>
        <v/>
      </c>
      <c r="C72" s="21">
        <f>IF(B72="","",MID("LunMarMiéJueVieSábDom",(WEEKDAY(B72,2)-1)*3+1,3))</f>
        <v/>
      </c>
      <c r="D72" s="22">
        <f>IF(B72="","",IF(AND(WEEKDAY(B72,2)&lt;=5,B72&gt;=Panel!$E$5,B72&lt;=Panel!$G$5),1,0))</f>
        <v/>
      </c>
      <c r="E72" s="22">
        <f>IF(B72="","",IF(D72=1,IF(COUNTIFS(Eventos!$D$8:$D$47,"&lt;="&amp;B72,Eventos!$M$8:$M$47,"&gt;="&amp;B72,Eventos!$I$8:$I$47,"Sí")&gt;0,1,0),0))</f>
        <v/>
      </c>
      <c r="F72" s="22">
        <f>IF(B72="","",D72-E72)</f>
        <v/>
      </c>
      <c r="G72" s="32">
        <f>IF(B72="","",DATE(YEAR(B72),MONTH(B72),1))</f>
        <v/>
      </c>
      <c r="H72" s="22">
        <f>IF(B72="","",COUNTIFS(Eventos!$D$8:$D$47,"&lt;="&amp;B72,Eventos!$M$8:$M$47,"&gt;="&amp;B72))</f>
        <v/>
      </c>
    </row>
    <row r="73">
      <c r="B73" s="19">
        <f>IF(Meses!$C$8+65&gt;=EDATE(Meses!$C$8,10),"",Meses!$C$8+65)</f>
        <v/>
      </c>
      <c r="C73" s="21">
        <f>IF(B73="","",MID("LunMarMiéJueVieSábDom",(WEEKDAY(B73,2)-1)*3+1,3))</f>
        <v/>
      </c>
      <c r="D73" s="22">
        <f>IF(B73="","",IF(AND(WEEKDAY(B73,2)&lt;=5,B73&gt;=Panel!$E$5,B73&lt;=Panel!$G$5),1,0))</f>
        <v/>
      </c>
      <c r="E73" s="22">
        <f>IF(B73="","",IF(D73=1,IF(COUNTIFS(Eventos!$D$8:$D$47,"&lt;="&amp;B73,Eventos!$M$8:$M$47,"&gt;="&amp;B73,Eventos!$I$8:$I$47,"Sí")&gt;0,1,0),0))</f>
        <v/>
      </c>
      <c r="F73" s="22">
        <f>IF(B73="","",D73-E73)</f>
        <v/>
      </c>
      <c r="G73" s="32">
        <f>IF(B73="","",DATE(YEAR(B73),MONTH(B73),1))</f>
        <v/>
      </c>
      <c r="H73" s="22">
        <f>IF(B73="","",COUNTIFS(Eventos!$D$8:$D$47,"&lt;="&amp;B73,Eventos!$M$8:$M$47,"&gt;="&amp;B73))</f>
        <v/>
      </c>
    </row>
    <row r="74">
      <c r="B74" s="19">
        <f>IF(Meses!$C$8+66&gt;=EDATE(Meses!$C$8,10),"",Meses!$C$8+66)</f>
        <v/>
      </c>
      <c r="C74" s="21">
        <f>IF(B74="","",MID("LunMarMiéJueVieSábDom",(WEEKDAY(B74,2)-1)*3+1,3))</f>
        <v/>
      </c>
      <c r="D74" s="22">
        <f>IF(B74="","",IF(AND(WEEKDAY(B74,2)&lt;=5,B74&gt;=Panel!$E$5,B74&lt;=Panel!$G$5),1,0))</f>
        <v/>
      </c>
      <c r="E74" s="22">
        <f>IF(B74="","",IF(D74=1,IF(COUNTIFS(Eventos!$D$8:$D$47,"&lt;="&amp;B74,Eventos!$M$8:$M$47,"&gt;="&amp;B74,Eventos!$I$8:$I$47,"Sí")&gt;0,1,0),0))</f>
        <v/>
      </c>
      <c r="F74" s="22">
        <f>IF(B74="","",D74-E74)</f>
        <v/>
      </c>
      <c r="G74" s="32">
        <f>IF(B74="","",DATE(YEAR(B74),MONTH(B74),1))</f>
        <v/>
      </c>
      <c r="H74" s="22">
        <f>IF(B74="","",COUNTIFS(Eventos!$D$8:$D$47,"&lt;="&amp;B74,Eventos!$M$8:$M$47,"&gt;="&amp;B74))</f>
        <v/>
      </c>
    </row>
    <row r="75">
      <c r="B75" s="19">
        <f>IF(Meses!$C$8+67&gt;=EDATE(Meses!$C$8,10),"",Meses!$C$8+67)</f>
        <v/>
      </c>
      <c r="C75" s="21">
        <f>IF(B75="","",MID("LunMarMiéJueVieSábDom",(WEEKDAY(B75,2)-1)*3+1,3))</f>
        <v/>
      </c>
      <c r="D75" s="22">
        <f>IF(B75="","",IF(AND(WEEKDAY(B75,2)&lt;=5,B75&gt;=Panel!$E$5,B75&lt;=Panel!$G$5),1,0))</f>
        <v/>
      </c>
      <c r="E75" s="22">
        <f>IF(B75="","",IF(D75=1,IF(COUNTIFS(Eventos!$D$8:$D$47,"&lt;="&amp;B75,Eventos!$M$8:$M$47,"&gt;="&amp;B75,Eventos!$I$8:$I$47,"Sí")&gt;0,1,0),0))</f>
        <v/>
      </c>
      <c r="F75" s="22">
        <f>IF(B75="","",D75-E75)</f>
        <v/>
      </c>
      <c r="G75" s="32">
        <f>IF(B75="","",DATE(YEAR(B75),MONTH(B75),1))</f>
        <v/>
      </c>
      <c r="H75" s="22">
        <f>IF(B75="","",COUNTIFS(Eventos!$D$8:$D$47,"&lt;="&amp;B75,Eventos!$M$8:$M$47,"&gt;="&amp;B75))</f>
        <v/>
      </c>
    </row>
    <row r="76">
      <c r="B76" s="19">
        <f>IF(Meses!$C$8+68&gt;=EDATE(Meses!$C$8,10),"",Meses!$C$8+68)</f>
        <v/>
      </c>
      <c r="C76" s="21">
        <f>IF(B76="","",MID("LunMarMiéJueVieSábDom",(WEEKDAY(B76,2)-1)*3+1,3))</f>
        <v/>
      </c>
      <c r="D76" s="22">
        <f>IF(B76="","",IF(AND(WEEKDAY(B76,2)&lt;=5,B76&gt;=Panel!$E$5,B76&lt;=Panel!$G$5),1,0))</f>
        <v/>
      </c>
      <c r="E76" s="22">
        <f>IF(B76="","",IF(D76=1,IF(COUNTIFS(Eventos!$D$8:$D$47,"&lt;="&amp;B76,Eventos!$M$8:$M$47,"&gt;="&amp;B76,Eventos!$I$8:$I$47,"Sí")&gt;0,1,0),0))</f>
        <v/>
      </c>
      <c r="F76" s="22">
        <f>IF(B76="","",D76-E76)</f>
        <v/>
      </c>
      <c r="G76" s="32">
        <f>IF(B76="","",DATE(YEAR(B76),MONTH(B76),1))</f>
        <v/>
      </c>
      <c r="H76" s="22">
        <f>IF(B76="","",COUNTIFS(Eventos!$D$8:$D$47,"&lt;="&amp;B76,Eventos!$M$8:$M$47,"&gt;="&amp;B76))</f>
        <v/>
      </c>
    </row>
    <row r="77">
      <c r="B77" s="19">
        <f>IF(Meses!$C$8+69&gt;=EDATE(Meses!$C$8,10),"",Meses!$C$8+69)</f>
        <v/>
      </c>
      <c r="C77" s="21">
        <f>IF(B77="","",MID("LunMarMiéJueVieSábDom",(WEEKDAY(B77,2)-1)*3+1,3))</f>
        <v/>
      </c>
      <c r="D77" s="22">
        <f>IF(B77="","",IF(AND(WEEKDAY(B77,2)&lt;=5,B77&gt;=Panel!$E$5,B77&lt;=Panel!$G$5),1,0))</f>
        <v/>
      </c>
      <c r="E77" s="22">
        <f>IF(B77="","",IF(D77=1,IF(COUNTIFS(Eventos!$D$8:$D$47,"&lt;="&amp;B77,Eventos!$M$8:$M$47,"&gt;="&amp;B77,Eventos!$I$8:$I$47,"Sí")&gt;0,1,0),0))</f>
        <v/>
      </c>
      <c r="F77" s="22">
        <f>IF(B77="","",D77-E77)</f>
        <v/>
      </c>
      <c r="G77" s="32">
        <f>IF(B77="","",DATE(YEAR(B77),MONTH(B77),1))</f>
        <v/>
      </c>
      <c r="H77" s="22">
        <f>IF(B77="","",COUNTIFS(Eventos!$D$8:$D$47,"&lt;="&amp;B77,Eventos!$M$8:$M$47,"&gt;="&amp;B77))</f>
        <v/>
      </c>
    </row>
    <row r="78">
      <c r="B78" s="19">
        <f>IF(Meses!$C$8+70&gt;=EDATE(Meses!$C$8,10),"",Meses!$C$8+70)</f>
        <v/>
      </c>
      <c r="C78" s="21">
        <f>IF(B78="","",MID("LunMarMiéJueVieSábDom",(WEEKDAY(B78,2)-1)*3+1,3))</f>
        <v/>
      </c>
      <c r="D78" s="22">
        <f>IF(B78="","",IF(AND(WEEKDAY(B78,2)&lt;=5,B78&gt;=Panel!$E$5,B78&lt;=Panel!$G$5),1,0))</f>
        <v/>
      </c>
      <c r="E78" s="22">
        <f>IF(B78="","",IF(D78=1,IF(COUNTIFS(Eventos!$D$8:$D$47,"&lt;="&amp;B78,Eventos!$M$8:$M$47,"&gt;="&amp;B78,Eventos!$I$8:$I$47,"Sí")&gt;0,1,0),0))</f>
        <v/>
      </c>
      <c r="F78" s="22">
        <f>IF(B78="","",D78-E78)</f>
        <v/>
      </c>
      <c r="G78" s="32">
        <f>IF(B78="","",DATE(YEAR(B78),MONTH(B78),1))</f>
        <v/>
      </c>
      <c r="H78" s="22">
        <f>IF(B78="","",COUNTIFS(Eventos!$D$8:$D$47,"&lt;="&amp;B78,Eventos!$M$8:$M$47,"&gt;="&amp;B78))</f>
        <v/>
      </c>
    </row>
    <row r="79">
      <c r="B79" s="19">
        <f>IF(Meses!$C$8+71&gt;=EDATE(Meses!$C$8,10),"",Meses!$C$8+71)</f>
        <v/>
      </c>
      <c r="C79" s="21">
        <f>IF(B79="","",MID("LunMarMiéJueVieSábDom",(WEEKDAY(B79,2)-1)*3+1,3))</f>
        <v/>
      </c>
      <c r="D79" s="22">
        <f>IF(B79="","",IF(AND(WEEKDAY(B79,2)&lt;=5,B79&gt;=Panel!$E$5,B79&lt;=Panel!$G$5),1,0))</f>
        <v/>
      </c>
      <c r="E79" s="22">
        <f>IF(B79="","",IF(D79=1,IF(COUNTIFS(Eventos!$D$8:$D$47,"&lt;="&amp;B79,Eventos!$M$8:$M$47,"&gt;="&amp;B79,Eventos!$I$8:$I$47,"Sí")&gt;0,1,0),0))</f>
        <v/>
      </c>
      <c r="F79" s="22">
        <f>IF(B79="","",D79-E79)</f>
        <v/>
      </c>
      <c r="G79" s="32">
        <f>IF(B79="","",DATE(YEAR(B79),MONTH(B79),1))</f>
        <v/>
      </c>
      <c r="H79" s="22">
        <f>IF(B79="","",COUNTIFS(Eventos!$D$8:$D$47,"&lt;="&amp;B79,Eventos!$M$8:$M$47,"&gt;="&amp;B79))</f>
        <v/>
      </c>
    </row>
    <row r="80">
      <c r="B80" s="19">
        <f>IF(Meses!$C$8+72&gt;=EDATE(Meses!$C$8,10),"",Meses!$C$8+72)</f>
        <v/>
      </c>
      <c r="C80" s="21">
        <f>IF(B80="","",MID("LunMarMiéJueVieSábDom",(WEEKDAY(B80,2)-1)*3+1,3))</f>
        <v/>
      </c>
      <c r="D80" s="22">
        <f>IF(B80="","",IF(AND(WEEKDAY(B80,2)&lt;=5,B80&gt;=Panel!$E$5,B80&lt;=Panel!$G$5),1,0))</f>
        <v/>
      </c>
      <c r="E80" s="22">
        <f>IF(B80="","",IF(D80=1,IF(COUNTIFS(Eventos!$D$8:$D$47,"&lt;="&amp;B80,Eventos!$M$8:$M$47,"&gt;="&amp;B80,Eventos!$I$8:$I$47,"Sí")&gt;0,1,0),0))</f>
        <v/>
      </c>
      <c r="F80" s="22">
        <f>IF(B80="","",D80-E80)</f>
        <v/>
      </c>
      <c r="G80" s="32">
        <f>IF(B80="","",DATE(YEAR(B80),MONTH(B80),1))</f>
        <v/>
      </c>
      <c r="H80" s="22">
        <f>IF(B80="","",COUNTIFS(Eventos!$D$8:$D$47,"&lt;="&amp;B80,Eventos!$M$8:$M$47,"&gt;="&amp;B80))</f>
        <v/>
      </c>
    </row>
    <row r="81">
      <c r="B81" s="19">
        <f>IF(Meses!$C$8+73&gt;=EDATE(Meses!$C$8,10),"",Meses!$C$8+73)</f>
        <v/>
      </c>
      <c r="C81" s="21">
        <f>IF(B81="","",MID("LunMarMiéJueVieSábDom",(WEEKDAY(B81,2)-1)*3+1,3))</f>
        <v/>
      </c>
      <c r="D81" s="22">
        <f>IF(B81="","",IF(AND(WEEKDAY(B81,2)&lt;=5,B81&gt;=Panel!$E$5,B81&lt;=Panel!$G$5),1,0))</f>
        <v/>
      </c>
      <c r="E81" s="22">
        <f>IF(B81="","",IF(D81=1,IF(COUNTIFS(Eventos!$D$8:$D$47,"&lt;="&amp;B81,Eventos!$M$8:$M$47,"&gt;="&amp;B81,Eventos!$I$8:$I$47,"Sí")&gt;0,1,0),0))</f>
        <v/>
      </c>
      <c r="F81" s="22">
        <f>IF(B81="","",D81-E81)</f>
        <v/>
      </c>
      <c r="G81" s="32">
        <f>IF(B81="","",DATE(YEAR(B81),MONTH(B81),1))</f>
        <v/>
      </c>
      <c r="H81" s="22">
        <f>IF(B81="","",COUNTIFS(Eventos!$D$8:$D$47,"&lt;="&amp;B81,Eventos!$M$8:$M$47,"&gt;="&amp;B81))</f>
        <v/>
      </c>
    </row>
    <row r="82">
      <c r="B82" s="19">
        <f>IF(Meses!$C$8+74&gt;=EDATE(Meses!$C$8,10),"",Meses!$C$8+74)</f>
        <v/>
      </c>
      <c r="C82" s="21">
        <f>IF(B82="","",MID("LunMarMiéJueVieSábDom",(WEEKDAY(B82,2)-1)*3+1,3))</f>
        <v/>
      </c>
      <c r="D82" s="22">
        <f>IF(B82="","",IF(AND(WEEKDAY(B82,2)&lt;=5,B82&gt;=Panel!$E$5,B82&lt;=Panel!$G$5),1,0))</f>
        <v/>
      </c>
      <c r="E82" s="22">
        <f>IF(B82="","",IF(D82=1,IF(COUNTIFS(Eventos!$D$8:$D$47,"&lt;="&amp;B82,Eventos!$M$8:$M$47,"&gt;="&amp;B82,Eventos!$I$8:$I$47,"Sí")&gt;0,1,0),0))</f>
        <v/>
      </c>
      <c r="F82" s="22">
        <f>IF(B82="","",D82-E82)</f>
        <v/>
      </c>
      <c r="G82" s="32">
        <f>IF(B82="","",DATE(YEAR(B82),MONTH(B82),1))</f>
        <v/>
      </c>
      <c r="H82" s="22">
        <f>IF(B82="","",COUNTIFS(Eventos!$D$8:$D$47,"&lt;="&amp;B82,Eventos!$M$8:$M$47,"&gt;="&amp;B82))</f>
        <v/>
      </c>
    </row>
    <row r="83">
      <c r="B83" s="19">
        <f>IF(Meses!$C$8+75&gt;=EDATE(Meses!$C$8,10),"",Meses!$C$8+75)</f>
        <v/>
      </c>
      <c r="C83" s="21">
        <f>IF(B83="","",MID("LunMarMiéJueVieSábDom",(WEEKDAY(B83,2)-1)*3+1,3))</f>
        <v/>
      </c>
      <c r="D83" s="22">
        <f>IF(B83="","",IF(AND(WEEKDAY(B83,2)&lt;=5,B83&gt;=Panel!$E$5,B83&lt;=Panel!$G$5),1,0))</f>
        <v/>
      </c>
      <c r="E83" s="22">
        <f>IF(B83="","",IF(D83=1,IF(COUNTIFS(Eventos!$D$8:$D$47,"&lt;="&amp;B83,Eventos!$M$8:$M$47,"&gt;="&amp;B83,Eventos!$I$8:$I$47,"Sí")&gt;0,1,0),0))</f>
        <v/>
      </c>
      <c r="F83" s="22">
        <f>IF(B83="","",D83-E83)</f>
        <v/>
      </c>
      <c r="G83" s="32">
        <f>IF(B83="","",DATE(YEAR(B83),MONTH(B83),1))</f>
        <v/>
      </c>
      <c r="H83" s="22">
        <f>IF(B83="","",COUNTIFS(Eventos!$D$8:$D$47,"&lt;="&amp;B83,Eventos!$M$8:$M$47,"&gt;="&amp;B83))</f>
        <v/>
      </c>
    </row>
    <row r="84">
      <c r="B84" s="19">
        <f>IF(Meses!$C$8+76&gt;=EDATE(Meses!$C$8,10),"",Meses!$C$8+76)</f>
        <v/>
      </c>
      <c r="C84" s="21">
        <f>IF(B84="","",MID("LunMarMiéJueVieSábDom",(WEEKDAY(B84,2)-1)*3+1,3))</f>
        <v/>
      </c>
      <c r="D84" s="22">
        <f>IF(B84="","",IF(AND(WEEKDAY(B84,2)&lt;=5,B84&gt;=Panel!$E$5,B84&lt;=Panel!$G$5),1,0))</f>
        <v/>
      </c>
      <c r="E84" s="22">
        <f>IF(B84="","",IF(D84=1,IF(COUNTIFS(Eventos!$D$8:$D$47,"&lt;="&amp;B84,Eventos!$M$8:$M$47,"&gt;="&amp;B84,Eventos!$I$8:$I$47,"Sí")&gt;0,1,0),0))</f>
        <v/>
      </c>
      <c r="F84" s="22">
        <f>IF(B84="","",D84-E84)</f>
        <v/>
      </c>
      <c r="G84" s="32">
        <f>IF(B84="","",DATE(YEAR(B84),MONTH(B84),1))</f>
        <v/>
      </c>
      <c r="H84" s="22">
        <f>IF(B84="","",COUNTIFS(Eventos!$D$8:$D$47,"&lt;="&amp;B84,Eventos!$M$8:$M$47,"&gt;="&amp;B84))</f>
        <v/>
      </c>
    </row>
    <row r="85">
      <c r="B85" s="19">
        <f>IF(Meses!$C$8+77&gt;=EDATE(Meses!$C$8,10),"",Meses!$C$8+77)</f>
        <v/>
      </c>
      <c r="C85" s="21">
        <f>IF(B85="","",MID("LunMarMiéJueVieSábDom",(WEEKDAY(B85,2)-1)*3+1,3))</f>
        <v/>
      </c>
      <c r="D85" s="22">
        <f>IF(B85="","",IF(AND(WEEKDAY(B85,2)&lt;=5,B85&gt;=Panel!$E$5,B85&lt;=Panel!$G$5),1,0))</f>
        <v/>
      </c>
      <c r="E85" s="22">
        <f>IF(B85="","",IF(D85=1,IF(COUNTIFS(Eventos!$D$8:$D$47,"&lt;="&amp;B85,Eventos!$M$8:$M$47,"&gt;="&amp;B85,Eventos!$I$8:$I$47,"Sí")&gt;0,1,0),0))</f>
        <v/>
      </c>
      <c r="F85" s="22">
        <f>IF(B85="","",D85-E85)</f>
        <v/>
      </c>
      <c r="G85" s="32">
        <f>IF(B85="","",DATE(YEAR(B85),MONTH(B85),1))</f>
        <v/>
      </c>
      <c r="H85" s="22">
        <f>IF(B85="","",COUNTIFS(Eventos!$D$8:$D$47,"&lt;="&amp;B85,Eventos!$M$8:$M$47,"&gt;="&amp;B85))</f>
        <v/>
      </c>
    </row>
    <row r="86">
      <c r="B86" s="19">
        <f>IF(Meses!$C$8+78&gt;=EDATE(Meses!$C$8,10),"",Meses!$C$8+78)</f>
        <v/>
      </c>
      <c r="C86" s="21">
        <f>IF(B86="","",MID("LunMarMiéJueVieSábDom",(WEEKDAY(B86,2)-1)*3+1,3))</f>
        <v/>
      </c>
      <c r="D86" s="22">
        <f>IF(B86="","",IF(AND(WEEKDAY(B86,2)&lt;=5,B86&gt;=Panel!$E$5,B86&lt;=Panel!$G$5),1,0))</f>
        <v/>
      </c>
      <c r="E86" s="22">
        <f>IF(B86="","",IF(D86=1,IF(COUNTIFS(Eventos!$D$8:$D$47,"&lt;="&amp;B86,Eventos!$M$8:$M$47,"&gt;="&amp;B86,Eventos!$I$8:$I$47,"Sí")&gt;0,1,0),0))</f>
        <v/>
      </c>
      <c r="F86" s="22">
        <f>IF(B86="","",D86-E86)</f>
        <v/>
      </c>
      <c r="G86" s="32">
        <f>IF(B86="","",DATE(YEAR(B86),MONTH(B86),1))</f>
        <v/>
      </c>
      <c r="H86" s="22">
        <f>IF(B86="","",COUNTIFS(Eventos!$D$8:$D$47,"&lt;="&amp;B86,Eventos!$M$8:$M$47,"&gt;="&amp;B86))</f>
        <v/>
      </c>
    </row>
    <row r="87">
      <c r="B87" s="19">
        <f>IF(Meses!$C$8+79&gt;=EDATE(Meses!$C$8,10),"",Meses!$C$8+79)</f>
        <v/>
      </c>
      <c r="C87" s="21">
        <f>IF(B87="","",MID("LunMarMiéJueVieSábDom",(WEEKDAY(B87,2)-1)*3+1,3))</f>
        <v/>
      </c>
      <c r="D87" s="22">
        <f>IF(B87="","",IF(AND(WEEKDAY(B87,2)&lt;=5,B87&gt;=Panel!$E$5,B87&lt;=Panel!$G$5),1,0))</f>
        <v/>
      </c>
      <c r="E87" s="22">
        <f>IF(B87="","",IF(D87=1,IF(COUNTIFS(Eventos!$D$8:$D$47,"&lt;="&amp;B87,Eventos!$M$8:$M$47,"&gt;="&amp;B87,Eventos!$I$8:$I$47,"Sí")&gt;0,1,0),0))</f>
        <v/>
      </c>
      <c r="F87" s="22">
        <f>IF(B87="","",D87-E87)</f>
        <v/>
      </c>
      <c r="G87" s="32">
        <f>IF(B87="","",DATE(YEAR(B87),MONTH(B87),1))</f>
        <v/>
      </c>
      <c r="H87" s="22">
        <f>IF(B87="","",COUNTIFS(Eventos!$D$8:$D$47,"&lt;="&amp;B87,Eventos!$M$8:$M$47,"&gt;="&amp;B87))</f>
        <v/>
      </c>
    </row>
    <row r="88">
      <c r="B88" s="19">
        <f>IF(Meses!$C$8+80&gt;=EDATE(Meses!$C$8,10),"",Meses!$C$8+80)</f>
        <v/>
      </c>
      <c r="C88" s="21">
        <f>IF(B88="","",MID("LunMarMiéJueVieSábDom",(WEEKDAY(B88,2)-1)*3+1,3))</f>
        <v/>
      </c>
      <c r="D88" s="22">
        <f>IF(B88="","",IF(AND(WEEKDAY(B88,2)&lt;=5,B88&gt;=Panel!$E$5,B88&lt;=Panel!$G$5),1,0))</f>
        <v/>
      </c>
      <c r="E88" s="22">
        <f>IF(B88="","",IF(D88=1,IF(COUNTIFS(Eventos!$D$8:$D$47,"&lt;="&amp;B88,Eventos!$M$8:$M$47,"&gt;="&amp;B88,Eventos!$I$8:$I$47,"Sí")&gt;0,1,0),0))</f>
        <v/>
      </c>
      <c r="F88" s="22">
        <f>IF(B88="","",D88-E88)</f>
        <v/>
      </c>
      <c r="G88" s="32">
        <f>IF(B88="","",DATE(YEAR(B88),MONTH(B88),1))</f>
        <v/>
      </c>
      <c r="H88" s="22">
        <f>IF(B88="","",COUNTIFS(Eventos!$D$8:$D$47,"&lt;="&amp;B88,Eventos!$M$8:$M$47,"&gt;="&amp;B88))</f>
        <v/>
      </c>
    </row>
    <row r="89">
      <c r="B89" s="19">
        <f>IF(Meses!$C$8+81&gt;=EDATE(Meses!$C$8,10),"",Meses!$C$8+81)</f>
        <v/>
      </c>
      <c r="C89" s="21">
        <f>IF(B89="","",MID("LunMarMiéJueVieSábDom",(WEEKDAY(B89,2)-1)*3+1,3))</f>
        <v/>
      </c>
      <c r="D89" s="22">
        <f>IF(B89="","",IF(AND(WEEKDAY(B89,2)&lt;=5,B89&gt;=Panel!$E$5,B89&lt;=Panel!$G$5),1,0))</f>
        <v/>
      </c>
      <c r="E89" s="22">
        <f>IF(B89="","",IF(D89=1,IF(COUNTIFS(Eventos!$D$8:$D$47,"&lt;="&amp;B89,Eventos!$M$8:$M$47,"&gt;="&amp;B89,Eventos!$I$8:$I$47,"Sí")&gt;0,1,0),0))</f>
        <v/>
      </c>
      <c r="F89" s="22">
        <f>IF(B89="","",D89-E89)</f>
        <v/>
      </c>
      <c r="G89" s="32">
        <f>IF(B89="","",DATE(YEAR(B89),MONTH(B89),1))</f>
        <v/>
      </c>
      <c r="H89" s="22">
        <f>IF(B89="","",COUNTIFS(Eventos!$D$8:$D$47,"&lt;="&amp;B89,Eventos!$M$8:$M$47,"&gt;="&amp;B89))</f>
        <v/>
      </c>
    </row>
    <row r="90">
      <c r="B90" s="19">
        <f>IF(Meses!$C$8+82&gt;=EDATE(Meses!$C$8,10),"",Meses!$C$8+82)</f>
        <v/>
      </c>
      <c r="C90" s="21">
        <f>IF(B90="","",MID("LunMarMiéJueVieSábDom",(WEEKDAY(B90,2)-1)*3+1,3))</f>
        <v/>
      </c>
      <c r="D90" s="22">
        <f>IF(B90="","",IF(AND(WEEKDAY(B90,2)&lt;=5,B90&gt;=Panel!$E$5,B90&lt;=Panel!$G$5),1,0))</f>
        <v/>
      </c>
      <c r="E90" s="22">
        <f>IF(B90="","",IF(D90=1,IF(COUNTIFS(Eventos!$D$8:$D$47,"&lt;="&amp;B90,Eventos!$M$8:$M$47,"&gt;="&amp;B90,Eventos!$I$8:$I$47,"Sí")&gt;0,1,0),0))</f>
        <v/>
      </c>
      <c r="F90" s="22">
        <f>IF(B90="","",D90-E90)</f>
        <v/>
      </c>
      <c r="G90" s="32">
        <f>IF(B90="","",DATE(YEAR(B90),MONTH(B90),1))</f>
        <v/>
      </c>
      <c r="H90" s="22">
        <f>IF(B90="","",COUNTIFS(Eventos!$D$8:$D$47,"&lt;="&amp;B90,Eventos!$M$8:$M$47,"&gt;="&amp;B90))</f>
        <v/>
      </c>
    </row>
    <row r="91">
      <c r="B91" s="19">
        <f>IF(Meses!$C$8+83&gt;=EDATE(Meses!$C$8,10),"",Meses!$C$8+83)</f>
        <v/>
      </c>
      <c r="C91" s="21">
        <f>IF(B91="","",MID("LunMarMiéJueVieSábDom",(WEEKDAY(B91,2)-1)*3+1,3))</f>
        <v/>
      </c>
      <c r="D91" s="22">
        <f>IF(B91="","",IF(AND(WEEKDAY(B91,2)&lt;=5,B91&gt;=Panel!$E$5,B91&lt;=Panel!$G$5),1,0))</f>
        <v/>
      </c>
      <c r="E91" s="22">
        <f>IF(B91="","",IF(D91=1,IF(COUNTIFS(Eventos!$D$8:$D$47,"&lt;="&amp;B91,Eventos!$M$8:$M$47,"&gt;="&amp;B91,Eventos!$I$8:$I$47,"Sí")&gt;0,1,0),0))</f>
        <v/>
      </c>
      <c r="F91" s="22">
        <f>IF(B91="","",D91-E91)</f>
        <v/>
      </c>
      <c r="G91" s="32">
        <f>IF(B91="","",DATE(YEAR(B91),MONTH(B91),1))</f>
        <v/>
      </c>
      <c r="H91" s="22">
        <f>IF(B91="","",COUNTIFS(Eventos!$D$8:$D$47,"&lt;="&amp;B91,Eventos!$M$8:$M$47,"&gt;="&amp;B91))</f>
        <v/>
      </c>
    </row>
    <row r="92">
      <c r="B92" s="19">
        <f>IF(Meses!$C$8+84&gt;=EDATE(Meses!$C$8,10),"",Meses!$C$8+84)</f>
        <v/>
      </c>
      <c r="C92" s="21">
        <f>IF(B92="","",MID("LunMarMiéJueVieSábDom",(WEEKDAY(B92,2)-1)*3+1,3))</f>
        <v/>
      </c>
      <c r="D92" s="22">
        <f>IF(B92="","",IF(AND(WEEKDAY(B92,2)&lt;=5,B92&gt;=Panel!$E$5,B92&lt;=Panel!$G$5),1,0))</f>
        <v/>
      </c>
      <c r="E92" s="22">
        <f>IF(B92="","",IF(D92=1,IF(COUNTIFS(Eventos!$D$8:$D$47,"&lt;="&amp;B92,Eventos!$M$8:$M$47,"&gt;="&amp;B92,Eventos!$I$8:$I$47,"Sí")&gt;0,1,0),0))</f>
        <v/>
      </c>
      <c r="F92" s="22">
        <f>IF(B92="","",D92-E92)</f>
        <v/>
      </c>
      <c r="G92" s="32">
        <f>IF(B92="","",DATE(YEAR(B92),MONTH(B92),1))</f>
        <v/>
      </c>
      <c r="H92" s="22">
        <f>IF(B92="","",COUNTIFS(Eventos!$D$8:$D$47,"&lt;="&amp;B92,Eventos!$M$8:$M$47,"&gt;="&amp;B92))</f>
        <v/>
      </c>
    </row>
    <row r="93">
      <c r="B93" s="19">
        <f>IF(Meses!$C$8+85&gt;=EDATE(Meses!$C$8,10),"",Meses!$C$8+85)</f>
        <v/>
      </c>
      <c r="C93" s="21">
        <f>IF(B93="","",MID("LunMarMiéJueVieSábDom",(WEEKDAY(B93,2)-1)*3+1,3))</f>
        <v/>
      </c>
      <c r="D93" s="22">
        <f>IF(B93="","",IF(AND(WEEKDAY(B93,2)&lt;=5,B93&gt;=Panel!$E$5,B93&lt;=Panel!$G$5),1,0))</f>
        <v/>
      </c>
      <c r="E93" s="22">
        <f>IF(B93="","",IF(D93=1,IF(COUNTIFS(Eventos!$D$8:$D$47,"&lt;="&amp;B93,Eventos!$M$8:$M$47,"&gt;="&amp;B93,Eventos!$I$8:$I$47,"Sí")&gt;0,1,0),0))</f>
        <v/>
      </c>
      <c r="F93" s="22">
        <f>IF(B93="","",D93-E93)</f>
        <v/>
      </c>
      <c r="G93" s="32">
        <f>IF(B93="","",DATE(YEAR(B93),MONTH(B93),1))</f>
        <v/>
      </c>
      <c r="H93" s="22">
        <f>IF(B93="","",COUNTIFS(Eventos!$D$8:$D$47,"&lt;="&amp;B93,Eventos!$M$8:$M$47,"&gt;="&amp;B93))</f>
        <v/>
      </c>
    </row>
    <row r="94">
      <c r="B94" s="19">
        <f>IF(Meses!$C$8+86&gt;=EDATE(Meses!$C$8,10),"",Meses!$C$8+86)</f>
        <v/>
      </c>
      <c r="C94" s="21">
        <f>IF(B94="","",MID("LunMarMiéJueVieSábDom",(WEEKDAY(B94,2)-1)*3+1,3))</f>
        <v/>
      </c>
      <c r="D94" s="22">
        <f>IF(B94="","",IF(AND(WEEKDAY(B94,2)&lt;=5,B94&gt;=Panel!$E$5,B94&lt;=Panel!$G$5),1,0))</f>
        <v/>
      </c>
      <c r="E94" s="22">
        <f>IF(B94="","",IF(D94=1,IF(COUNTIFS(Eventos!$D$8:$D$47,"&lt;="&amp;B94,Eventos!$M$8:$M$47,"&gt;="&amp;B94,Eventos!$I$8:$I$47,"Sí")&gt;0,1,0),0))</f>
        <v/>
      </c>
      <c r="F94" s="22">
        <f>IF(B94="","",D94-E94)</f>
        <v/>
      </c>
      <c r="G94" s="32">
        <f>IF(B94="","",DATE(YEAR(B94),MONTH(B94),1))</f>
        <v/>
      </c>
      <c r="H94" s="22">
        <f>IF(B94="","",COUNTIFS(Eventos!$D$8:$D$47,"&lt;="&amp;B94,Eventos!$M$8:$M$47,"&gt;="&amp;B94))</f>
        <v/>
      </c>
    </row>
    <row r="95">
      <c r="B95" s="19">
        <f>IF(Meses!$C$8+87&gt;=EDATE(Meses!$C$8,10),"",Meses!$C$8+87)</f>
        <v/>
      </c>
      <c r="C95" s="21">
        <f>IF(B95="","",MID("LunMarMiéJueVieSábDom",(WEEKDAY(B95,2)-1)*3+1,3))</f>
        <v/>
      </c>
      <c r="D95" s="22">
        <f>IF(B95="","",IF(AND(WEEKDAY(B95,2)&lt;=5,B95&gt;=Panel!$E$5,B95&lt;=Panel!$G$5),1,0))</f>
        <v/>
      </c>
      <c r="E95" s="22">
        <f>IF(B95="","",IF(D95=1,IF(COUNTIFS(Eventos!$D$8:$D$47,"&lt;="&amp;B95,Eventos!$M$8:$M$47,"&gt;="&amp;B95,Eventos!$I$8:$I$47,"Sí")&gt;0,1,0),0))</f>
        <v/>
      </c>
      <c r="F95" s="22">
        <f>IF(B95="","",D95-E95)</f>
        <v/>
      </c>
      <c r="G95" s="32">
        <f>IF(B95="","",DATE(YEAR(B95),MONTH(B95),1))</f>
        <v/>
      </c>
      <c r="H95" s="22">
        <f>IF(B95="","",COUNTIFS(Eventos!$D$8:$D$47,"&lt;="&amp;B95,Eventos!$M$8:$M$47,"&gt;="&amp;B95))</f>
        <v/>
      </c>
    </row>
    <row r="96">
      <c r="B96" s="19">
        <f>IF(Meses!$C$8+88&gt;=EDATE(Meses!$C$8,10),"",Meses!$C$8+88)</f>
        <v/>
      </c>
      <c r="C96" s="21">
        <f>IF(B96="","",MID("LunMarMiéJueVieSábDom",(WEEKDAY(B96,2)-1)*3+1,3))</f>
        <v/>
      </c>
      <c r="D96" s="22">
        <f>IF(B96="","",IF(AND(WEEKDAY(B96,2)&lt;=5,B96&gt;=Panel!$E$5,B96&lt;=Panel!$G$5),1,0))</f>
        <v/>
      </c>
      <c r="E96" s="22">
        <f>IF(B96="","",IF(D96=1,IF(COUNTIFS(Eventos!$D$8:$D$47,"&lt;="&amp;B96,Eventos!$M$8:$M$47,"&gt;="&amp;B96,Eventos!$I$8:$I$47,"Sí")&gt;0,1,0),0))</f>
        <v/>
      </c>
      <c r="F96" s="22">
        <f>IF(B96="","",D96-E96)</f>
        <v/>
      </c>
      <c r="G96" s="32">
        <f>IF(B96="","",DATE(YEAR(B96),MONTH(B96),1))</f>
        <v/>
      </c>
      <c r="H96" s="22">
        <f>IF(B96="","",COUNTIFS(Eventos!$D$8:$D$47,"&lt;="&amp;B96,Eventos!$M$8:$M$47,"&gt;="&amp;B96))</f>
        <v/>
      </c>
    </row>
    <row r="97">
      <c r="B97" s="19">
        <f>IF(Meses!$C$8+89&gt;=EDATE(Meses!$C$8,10),"",Meses!$C$8+89)</f>
        <v/>
      </c>
      <c r="C97" s="21">
        <f>IF(B97="","",MID("LunMarMiéJueVieSábDom",(WEEKDAY(B97,2)-1)*3+1,3))</f>
        <v/>
      </c>
      <c r="D97" s="22">
        <f>IF(B97="","",IF(AND(WEEKDAY(B97,2)&lt;=5,B97&gt;=Panel!$E$5,B97&lt;=Panel!$G$5),1,0))</f>
        <v/>
      </c>
      <c r="E97" s="22">
        <f>IF(B97="","",IF(D97=1,IF(COUNTIFS(Eventos!$D$8:$D$47,"&lt;="&amp;B97,Eventos!$M$8:$M$47,"&gt;="&amp;B97,Eventos!$I$8:$I$47,"Sí")&gt;0,1,0),0))</f>
        <v/>
      </c>
      <c r="F97" s="22">
        <f>IF(B97="","",D97-E97)</f>
        <v/>
      </c>
      <c r="G97" s="32">
        <f>IF(B97="","",DATE(YEAR(B97),MONTH(B97),1))</f>
        <v/>
      </c>
      <c r="H97" s="22">
        <f>IF(B97="","",COUNTIFS(Eventos!$D$8:$D$47,"&lt;="&amp;B97,Eventos!$M$8:$M$47,"&gt;="&amp;B97))</f>
        <v/>
      </c>
    </row>
    <row r="98">
      <c r="B98" s="19">
        <f>IF(Meses!$C$8+90&gt;=EDATE(Meses!$C$8,10),"",Meses!$C$8+90)</f>
        <v/>
      </c>
      <c r="C98" s="21">
        <f>IF(B98="","",MID("LunMarMiéJueVieSábDom",(WEEKDAY(B98,2)-1)*3+1,3))</f>
        <v/>
      </c>
      <c r="D98" s="22">
        <f>IF(B98="","",IF(AND(WEEKDAY(B98,2)&lt;=5,B98&gt;=Panel!$E$5,B98&lt;=Panel!$G$5),1,0))</f>
        <v/>
      </c>
      <c r="E98" s="22">
        <f>IF(B98="","",IF(D98=1,IF(COUNTIFS(Eventos!$D$8:$D$47,"&lt;="&amp;B98,Eventos!$M$8:$M$47,"&gt;="&amp;B98,Eventos!$I$8:$I$47,"Sí")&gt;0,1,0),0))</f>
        <v/>
      </c>
      <c r="F98" s="22">
        <f>IF(B98="","",D98-E98)</f>
        <v/>
      </c>
      <c r="G98" s="32">
        <f>IF(B98="","",DATE(YEAR(B98),MONTH(B98),1))</f>
        <v/>
      </c>
      <c r="H98" s="22">
        <f>IF(B98="","",COUNTIFS(Eventos!$D$8:$D$47,"&lt;="&amp;B98,Eventos!$M$8:$M$47,"&gt;="&amp;B98))</f>
        <v/>
      </c>
    </row>
    <row r="99">
      <c r="B99" s="19">
        <f>IF(Meses!$C$8+91&gt;=EDATE(Meses!$C$8,10),"",Meses!$C$8+91)</f>
        <v/>
      </c>
      <c r="C99" s="21">
        <f>IF(B99="","",MID("LunMarMiéJueVieSábDom",(WEEKDAY(B99,2)-1)*3+1,3))</f>
        <v/>
      </c>
      <c r="D99" s="22">
        <f>IF(B99="","",IF(AND(WEEKDAY(B99,2)&lt;=5,B99&gt;=Panel!$E$5,B99&lt;=Panel!$G$5),1,0))</f>
        <v/>
      </c>
      <c r="E99" s="22">
        <f>IF(B99="","",IF(D99=1,IF(COUNTIFS(Eventos!$D$8:$D$47,"&lt;="&amp;B99,Eventos!$M$8:$M$47,"&gt;="&amp;B99,Eventos!$I$8:$I$47,"Sí")&gt;0,1,0),0))</f>
        <v/>
      </c>
      <c r="F99" s="22">
        <f>IF(B99="","",D99-E99)</f>
        <v/>
      </c>
      <c r="G99" s="32">
        <f>IF(B99="","",DATE(YEAR(B99),MONTH(B99),1))</f>
        <v/>
      </c>
      <c r="H99" s="22">
        <f>IF(B99="","",COUNTIFS(Eventos!$D$8:$D$47,"&lt;="&amp;B99,Eventos!$M$8:$M$47,"&gt;="&amp;B99))</f>
        <v/>
      </c>
    </row>
    <row r="100">
      <c r="B100" s="19">
        <f>IF(Meses!$C$8+92&gt;=EDATE(Meses!$C$8,10),"",Meses!$C$8+92)</f>
        <v/>
      </c>
      <c r="C100" s="21">
        <f>IF(B100="","",MID("LunMarMiéJueVieSábDom",(WEEKDAY(B100,2)-1)*3+1,3))</f>
        <v/>
      </c>
      <c r="D100" s="22">
        <f>IF(B100="","",IF(AND(WEEKDAY(B100,2)&lt;=5,B100&gt;=Panel!$E$5,B100&lt;=Panel!$G$5),1,0))</f>
        <v/>
      </c>
      <c r="E100" s="22">
        <f>IF(B100="","",IF(D100=1,IF(COUNTIFS(Eventos!$D$8:$D$47,"&lt;="&amp;B100,Eventos!$M$8:$M$47,"&gt;="&amp;B100,Eventos!$I$8:$I$47,"Sí")&gt;0,1,0),0))</f>
        <v/>
      </c>
      <c r="F100" s="22">
        <f>IF(B100="","",D100-E100)</f>
        <v/>
      </c>
      <c r="G100" s="32">
        <f>IF(B100="","",DATE(YEAR(B100),MONTH(B100),1))</f>
        <v/>
      </c>
      <c r="H100" s="22">
        <f>IF(B100="","",COUNTIFS(Eventos!$D$8:$D$47,"&lt;="&amp;B100,Eventos!$M$8:$M$47,"&gt;="&amp;B100))</f>
        <v/>
      </c>
    </row>
    <row r="101">
      <c r="B101" s="19">
        <f>IF(Meses!$C$8+93&gt;=EDATE(Meses!$C$8,10),"",Meses!$C$8+93)</f>
        <v/>
      </c>
      <c r="C101" s="21">
        <f>IF(B101="","",MID("LunMarMiéJueVieSábDom",(WEEKDAY(B101,2)-1)*3+1,3))</f>
        <v/>
      </c>
      <c r="D101" s="22">
        <f>IF(B101="","",IF(AND(WEEKDAY(B101,2)&lt;=5,B101&gt;=Panel!$E$5,B101&lt;=Panel!$G$5),1,0))</f>
        <v/>
      </c>
      <c r="E101" s="22">
        <f>IF(B101="","",IF(D101=1,IF(COUNTIFS(Eventos!$D$8:$D$47,"&lt;="&amp;B101,Eventos!$M$8:$M$47,"&gt;="&amp;B101,Eventos!$I$8:$I$47,"Sí")&gt;0,1,0),0))</f>
        <v/>
      </c>
      <c r="F101" s="22">
        <f>IF(B101="","",D101-E101)</f>
        <v/>
      </c>
      <c r="G101" s="32">
        <f>IF(B101="","",DATE(YEAR(B101),MONTH(B101),1))</f>
        <v/>
      </c>
      <c r="H101" s="22">
        <f>IF(B101="","",COUNTIFS(Eventos!$D$8:$D$47,"&lt;="&amp;B101,Eventos!$M$8:$M$47,"&gt;="&amp;B101))</f>
        <v/>
      </c>
    </row>
    <row r="102">
      <c r="B102" s="19">
        <f>IF(Meses!$C$8+94&gt;=EDATE(Meses!$C$8,10),"",Meses!$C$8+94)</f>
        <v/>
      </c>
      <c r="C102" s="21">
        <f>IF(B102="","",MID("LunMarMiéJueVieSábDom",(WEEKDAY(B102,2)-1)*3+1,3))</f>
        <v/>
      </c>
      <c r="D102" s="22">
        <f>IF(B102="","",IF(AND(WEEKDAY(B102,2)&lt;=5,B102&gt;=Panel!$E$5,B102&lt;=Panel!$G$5),1,0))</f>
        <v/>
      </c>
      <c r="E102" s="22">
        <f>IF(B102="","",IF(D102=1,IF(COUNTIFS(Eventos!$D$8:$D$47,"&lt;="&amp;B102,Eventos!$M$8:$M$47,"&gt;="&amp;B102,Eventos!$I$8:$I$47,"Sí")&gt;0,1,0),0))</f>
        <v/>
      </c>
      <c r="F102" s="22">
        <f>IF(B102="","",D102-E102)</f>
        <v/>
      </c>
      <c r="G102" s="32">
        <f>IF(B102="","",DATE(YEAR(B102),MONTH(B102),1))</f>
        <v/>
      </c>
      <c r="H102" s="22">
        <f>IF(B102="","",COUNTIFS(Eventos!$D$8:$D$47,"&lt;="&amp;B102,Eventos!$M$8:$M$47,"&gt;="&amp;B102))</f>
        <v/>
      </c>
    </row>
    <row r="103">
      <c r="B103" s="19">
        <f>IF(Meses!$C$8+95&gt;=EDATE(Meses!$C$8,10),"",Meses!$C$8+95)</f>
        <v/>
      </c>
      <c r="C103" s="21">
        <f>IF(B103="","",MID("LunMarMiéJueVieSábDom",(WEEKDAY(B103,2)-1)*3+1,3))</f>
        <v/>
      </c>
      <c r="D103" s="22">
        <f>IF(B103="","",IF(AND(WEEKDAY(B103,2)&lt;=5,B103&gt;=Panel!$E$5,B103&lt;=Panel!$G$5),1,0))</f>
        <v/>
      </c>
      <c r="E103" s="22">
        <f>IF(B103="","",IF(D103=1,IF(COUNTIFS(Eventos!$D$8:$D$47,"&lt;="&amp;B103,Eventos!$M$8:$M$47,"&gt;="&amp;B103,Eventos!$I$8:$I$47,"Sí")&gt;0,1,0),0))</f>
        <v/>
      </c>
      <c r="F103" s="22">
        <f>IF(B103="","",D103-E103)</f>
        <v/>
      </c>
      <c r="G103" s="32">
        <f>IF(B103="","",DATE(YEAR(B103),MONTH(B103),1))</f>
        <v/>
      </c>
      <c r="H103" s="22">
        <f>IF(B103="","",COUNTIFS(Eventos!$D$8:$D$47,"&lt;="&amp;B103,Eventos!$M$8:$M$47,"&gt;="&amp;B103))</f>
        <v/>
      </c>
    </row>
    <row r="104">
      <c r="B104" s="19">
        <f>IF(Meses!$C$8+96&gt;=EDATE(Meses!$C$8,10),"",Meses!$C$8+96)</f>
        <v/>
      </c>
      <c r="C104" s="21">
        <f>IF(B104="","",MID("LunMarMiéJueVieSábDom",(WEEKDAY(B104,2)-1)*3+1,3))</f>
        <v/>
      </c>
      <c r="D104" s="22">
        <f>IF(B104="","",IF(AND(WEEKDAY(B104,2)&lt;=5,B104&gt;=Panel!$E$5,B104&lt;=Panel!$G$5),1,0))</f>
        <v/>
      </c>
      <c r="E104" s="22">
        <f>IF(B104="","",IF(D104=1,IF(COUNTIFS(Eventos!$D$8:$D$47,"&lt;="&amp;B104,Eventos!$M$8:$M$47,"&gt;="&amp;B104,Eventos!$I$8:$I$47,"Sí")&gt;0,1,0),0))</f>
        <v/>
      </c>
      <c r="F104" s="22">
        <f>IF(B104="","",D104-E104)</f>
        <v/>
      </c>
      <c r="G104" s="32">
        <f>IF(B104="","",DATE(YEAR(B104),MONTH(B104),1))</f>
        <v/>
      </c>
      <c r="H104" s="22">
        <f>IF(B104="","",COUNTIFS(Eventos!$D$8:$D$47,"&lt;="&amp;B104,Eventos!$M$8:$M$47,"&gt;="&amp;B104))</f>
        <v/>
      </c>
    </row>
    <row r="105">
      <c r="B105" s="19">
        <f>IF(Meses!$C$8+97&gt;=EDATE(Meses!$C$8,10),"",Meses!$C$8+97)</f>
        <v/>
      </c>
      <c r="C105" s="21">
        <f>IF(B105="","",MID("LunMarMiéJueVieSábDom",(WEEKDAY(B105,2)-1)*3+1,3))</f>
        <v/>
      </c>
      <c r="D105" s="22">
        <f>IF(B105="","",IF(AND(WEEKDAY(B105,2)&lt;=5,B105&gt;=Panel!$E$5,B105&lt;=Panel!$G$5),1,0))</f>
        <v/>
      </c>
      <c r="E105" s="22">
        <f>IF(B105="","",IF(D105=1,IF(COUNTIFS(Eventos!$D$8:$D$47,"&lt;="&amp;B105,Eventos!$M$8:$M$47,"&gt;="&amp;B105,Eventos!$I$8:$I$47,"Sí")&gt;0,1,0),0))</f>
        <v/>
      </c>
      <c r="F105" s="22">
        <f>IF(B105="","",D105-E105)</f>
        <v/>
      </c>
      <c r="G105" s="32">
        <f>IF(B105="","",DATE(YEAR(B105),MONTH(B105),1))</f>
        <v/>
      </c>
      <c r="H105" s="22">
        <f>IF(B105="","",COUNTIFS(Eventos!$D$8:$D$47,"&lt;="&amp;B105,Eventos!$M$8:$M$47,"&gt;="&amp;B105))</f>
        <v/>
      </c>
    </row>
    <row r="106">
      <c r="B106" s="19">
        <f>IF(Meses!$C$8+98&gt;=EDATE(Meses!$C$8,10),"",Meses!$C$8+98)</f>
        <v/>
      </c>
      <c r="C106" s="21">
        <f>IF(B106="","",MID("LunMarMiéJueVieSábDom",(WEEKDAY(B106,2)-1)*3+1,3))</f>
        <v/>
      </c>
      <c r="D106" s="22">
        <f>IF(B106="","",IF(AND(WEEKDAY(B106,2)&lt;=5,B106&gt;=Panel!$E$5,B106&lt;=Panel!$G$5),1,0))</f>
        <v/>
      </c>
      <c r="E106" s="22">
        <f>IF(B106="","",IF(D106=1,IF(COUNTIFS(Eventos!$D$8:$D$47,"&lt;="&amp;B106,Eventos!$M$8:$M$47,"&gt;="&amp;B106,Eventos!$I$8:$I$47,"Sí")&gt;0,1,0),0))</f>
        <v/>
      </c>
      <c r="F106" s="22">
        <f>IF(B106="","",D106-E106)</f>
        <v/>
      </c>
      <c r="G106" s="32">
        <f>IF(B106="","",DATE(YEAR(B106),MONTH(B106),1))</f>
        <v/>
      </c>
      <c r="H106" s="22">
        <f>IF(B106="","",COUNTIFS(Eventos!$D$8:$D$47,"&lt;="&amp;B106,Eventos!$M$8:$M$47,"&gt;="&amp;B106))</f>
        <v/>
      </c>
    </row>
    <row r="107">
      <c r="B107" s="19">
        <f>IF(Meses!$C$8+99&gt;=EDATE(Meses!$C$8,10),"",Meses!$C$8+99)</f>
        <v/>
      </c>
      <c r="C107" s="21">
        <f>IF(B107="","",MID("LunMarMiéJueVieSábDom",(WEEKDAY(B107,2)-1)*3+1,3))</f>
        <v/>
      </c>
      <c r="D107" s="22">
        <f>IF(B107="","",IF(AND(WEEKDAY(B107,2)&lt;=5,B107&gt;=Panel!$E$5,B107&lt;=Panel!$G$5),1,0))</f>
        <v/>
      </c>
      <c r="E107" s="22">
        <f>IF(B107="","",IF(D107=1,IF(COUNTIFS(Eventos!$D$8:$D$47,"&lt;="&amp;B107,Eventos!$M$8:$M$47,"&gt;="&amp;B107,Eventos!$I$8:$I$47,"Sí")&gt;0,1,0),0))</f>
        <v/>
      </c>
      <c r="F107" s="22">
        <f>IF(B107="","",D107-E107)</f>
        <v/>
      </c>
      <c r="G107" s="32">
        <f>IF(B107="","",DATE(YEAR(B107),MONTH(B107),1))</f>
        <v/>
      </c>
      <c r="H107" s="22">
        <f>IF(B107="","",COUNTIFS(Eventos!$D$8:$D$47,"&lt;="&amp;B107,Eventos!$M$8:$M$47,"&gt;="&amp;B107))</f>
        <v/>
      </c>
    </row>
    <row r="108">
      <c r="B108" s="19">
        <f>IF(Meses!$C$8+100&gt;=EDATE(Meses!$C$8,10),"",Meses!$C$8+100)</f>
        <v/>
      </c>
      <c r="C108" s="21">
        <f>IF(B108="","",MID("LunMarMiéJueVieSábDom",(WEEKDAY(B108,2)-1)*3+1,3))</f>
        <v/>
      </c>
      <c r="D108" s="22">
        <f>IF(B108="","",IF(AND(WEEKDAY(B108,2)&lt;=5,B108&gt;=Panel!$E$5,B108&lt;=Panel!$G$5),1,0))</f>
        <v/>
      </c>
      <c r="E108" s="22">
        <f>IF(B108="","",IF(D108=1,IF(COUNTIFS(Eventos!$D$8:$D$47,"&lt;="&amp;B108,Eventos!$M$8:$M$47,"&gt;="&amp;B108,Eventos!$I$8:$I$47,"Sí")&gt;0,1,0),0))</f>
        <v/>
      </c>
      <c r="F108" s="22">
        <f>IF(B108="","",D108-E108)</f>
        <v/>
      </c>
      <c r="G108" s="32">
        <f>IF(B108="","",DATE(YEAR(B108),MONTH(B108),1))</f>
        <v/>
      </c>
      <c r="H108" s="22">
        <f>IF(B108="","",COUNTIFS(Eventos!$D$8:$D$47,"&lt;="&amp;B108,Eventos!$M$8:$M$47,"&gt;="&amp;B108))</f>
        <v/>
      </c>
    </row>
    <row r="109">
      <c r="B109" s="19">
        <f>IF(Meses!$C$8+101&gt;=EDATE(Meses!$C$8,10),"",Meses!$C$8+101)</f>
        <v/>
      </c>
      <c r="C109" s="21">
        <f>IF(B109="","",MID("LunMarMiéJueVieSábDom",(WEEKDAY(B109,2)-1)*3+1,3))</f>
        <v/>
      </c>
      <c r="D109" s="22">
        <f>IF(B109="","",IF(AND(WEEKDAY(B109,2)&lt;=5,B109&gt;=Panel!$E$5,B109&lt;=Panel!$G$5),1,0))</f>
        <v/>
      </c>
      <c r="E109" s="22">
        <f>IF(B109="","",IF(D109=1,IF(COUNTIFS(Eventos!$D$8:$D$47,"&lt;="&amp;B109,Eventos!$M$8:$M$47,"&gt;="&amp;B109,Eventos!$I$8:$I$47,"Sí")&gt;0,1,0),0))</f>
        <v/>
      </c>
      <c r="F109" s="22">
        <f>IF(B109="","",D109-E109)</f>
        <v/>
      </c>
      <c r="G109" s="32">
        <f>IF(B109="","",DATE(YEAR(B109),MONTH(B109),1))</f>
        <v/>
      </c>
      <c r="H109" s="22">
        <f>IF(B109="","",COUNTIFS(Eventos!$D$8:$D$47,"&lt;="&amp;B109,Eventos!$M$8:$M$47,"&gt;="&amp;B109))</f>
        <v/>
      </c>
    </row>
    <row r="110">
      <c r="B110" s="19">
        <f>IF(Meses!$C$8+102&gt;=EDATE(Meses!$C$8,10),"",Meses!$C$8+102)</f>
        <v/>
      </c>
      <c r="C110" s="21">
        <f>IF(B110="","",MID("LunMarMiéJueVieSábDom",(WEEKDAY(B110,2)-1)*3+1,3))</f>
        <v/>
      </c>
      <c r="D110" s="22">
        <f>IF(B110="","",IF(AND(WEEKDAY(B110,2)&lt;=5,B110&gt;=Panel!$E$5,B110&lt;=Panel!$G$5),1,0))</f>
        <v/>
      </c>
      <c r="E110" s="22">
        <f>IF(B110="","",IF(D110=1,IF(COUNTIFS(Eventos!$D$8:$D$47,"&lt;="&amp;B110,Eventos!$M$8:$M$47,"&gt;="&amp;B110,Eventos!$I$8:$I$47,"Sí")&gt;0,1,0),0))</f>
        <v/>
      </c>
      <c r="F110" s="22">
        <f>IF(B110="","",D110-E110)</f>
        <v/>
      </c>
      <c r="G110" s="32">
        <f>IF(B110="","",DATE(YEAR(B110),MONTH(B110),1))</f>
        <v/>
      </c>
      <c r="H110" s="22">
        <f>IF(B110="","",COUNTIFS(Eventos!$D$8:$D$47,"&lt;="&amp;B110,Eventos!$M$8:$M$47,"&gt;="&amp;B110))</f>
        <v/>
      </c>
    </row>
    <row r="111">
      <c r="B111" s="19">
        <f>IF(Meses!$C$8+103&gt;=EDATE(Meses!$C$8,10),"",Meses!$C$8+103)</f>
        <v/>
      </c>
      <c r="C111" s="21">
        <f>IF(B111="","",MID("LunMarMiéJueVieSábDom",(WEEKDAY(B111,2)-1)*3+1,3))</f>
        <v/>
      </c>
      <c r="D111" s="22">
        <f>IF(B111="","",IF(AND(WEEKDAY(B111,2)&lt;=5,B111&gt;=Panel!$E$5,B111&lt;=Panel!$G$5),1,0))</f>
        <v/>
      </c>
      <c r="E111" s="22">
        <f>IF(B111="","",IF(D111=1,IF(COUNTIFS(Eventos!$D$8:$D$47,"&lt;="&amp;B111,Eventos!$M$8:$M$47,"&gt;="&amp;B111,Eventos!$I$8:$I$47,"Sí")&gt;0,1,0),0))</f>
        <v/>
      </c>
      <c r="F111" s="22">
        <f>IF(B111="","",D111-E111)</f>
        <v/>
      </c>
      <c r="G111" s="32">
        <f>IF(B111="","",DATE(YEAR(B111),MONTH(B111),1))</f>
        <v/>
      </c>
      <c r="H111" s="22">
        <f>IF(B111="","",COUNTIFS(Eventos!$D$8:$D$47,"&lt;="&amp;B111,Eventos!$M$8:$M$47,"&gt;="&amp;B111))</f>
        <v/>
      </c>
    </row>
    <row r="112">
      <c r="B112" s="19">
        <f>IF(Meses!$C$8+104&gt;=EDATE(Meses!$C$8,10),"",Meses!$C$8+104)</f>
        <v/>
      </c>
      <c r="C112" s="21">
        <f>IF(B112="","",MID("LunMarMiéJueVieSábDom",(WEEKDAY(B112,2)-1)*3+1,3))</f>
        <v/>
      </c>
      <c r="D112" s="22">
        <f>IF(B112="","",IF(AND(WEEKDAY(B112,2)&lt;=5,B112&gt;=Panel!$E$5,B112&lt;=Panel!$G$5),1,0))</f>
        <v/>
      </c>
      <c r="E112" s="22">
        <f>IF(B112="","",IF(D112=1,IF(COUNTIFS(Eventos!$D$8:$D$47,"&lt;="&amp;B112,Eventos!$M$8:$M$47,"&gt;="&amp;B112,Eventos!$I$8:$I$47,"Sí")&gt;0,1,0),0))</f>
        <v/>
      </c>
      <c r="F112" s="22">
        <f>IF(B112="","",D112-E112)</f>
        <v/>
      </c>
      <c r="G112" s="32">
        <f>IF(B112="","",DATE(YEAR(B112),MONTH(B112),1))</f>
        <v/>
      </c>
      <c r="H112" s="22">
        <f>IF(B112="","",COUNTIFS(Eventos!$D$8:$D$47,"&lt;="&amp;B112,Eventos!$M$8:$M$47,"&gt;="&amp;B112))</f>
        <v/>
      </c>
    </row>
    <row r="113">
      <c r="B113" s="19">
        <f>IF(Meses!$C$8+105&gt;=EDATE(Meses!$C$8,10),"",Meses!$C$8+105)</f>
        <v/>
      </c>
      <c r="C113" s="21">
        <f>IF(B113="","",MID("LunMarMiéJueVieSábDom",(WEEKDAY(B113,2)-1)*3+1,3))</f>
        <v/>
      </c>
      <c r="D113" s="22">
        <f>IF(B113="","",IF(AND(WEEKDAY(B113,2)&lt;=5,B113&gt;=Panel!$E$5,B113&lt;=Panel!$G$5),1,0))</f>
        <v/>
      </c>
      <c r="E113" s="22">
        <f>IF(B113="","",IF(D113=1,IF(COUNTIFS(Eventos!$D$8:$D$47,"&lt;="&amp;B113,Eventos!$M$8:$M$47,"&gt;="&amp;B113,Eventos!$I$8:$I$47,"Sí")&gt;0,1,0),0))</f>
        <v/>
      </c>
      <c r="F113" s="22">
        <f>IF(B113="","",D113-E113)</f>
        <v/>
      </c>
      <c r="G113" s="32">
        <f>IF(B113="","",DATE(YEAR(B113),MONTH(B113),1))</f>
        <v/>
      </c>
      <c r="H113" s="22">
        <f>IF(B113="","",COUNTIFS(Eventos!$D$8:$D$47,"&lt;="&amp;B113,Eventos!$M$8:$M$47,"&gt;="&amp;B113))</f>
        <v/>
      </c>
    </row>
    <row r="114">
      <c r="B114" s="19">
        <f>IF(Meses!$C$8+106&gt;=EDATE(Meses!$C$8,10),"",Meses!$C$8+106)</f>
        <v/>
      </c>
      <c r="C114" s="21">
        <f>IF(B114="","",MID("LunMarMiéJueVieSábDom",(WEEKDAY(B114,2)-1)*3+1,3))</f>
        <v/>
      </c>
      <c r="D114" s="22">
        <f>IF(B114="","",IF(AND(WEEKDAY(B114,2)&lt;=5,B114&gt;=Panel!$E$5,B114&lt;=Panel!$G$5),1,0))</f>
        <v/>
      </c>
      <c r="E114" s="22">
        <f>IF(B114="","",IF(D114=1,IF(COUNTIFS(Eventos!$D$8:$D$47,"&lt;="&amp;B114,Eventos!$M$8:$M$47,"&gt;="&amp;B114,Eventos!$I$8:$I$47,"Sí")&gt;0,1,0),0))</f>
        <v/>
      </c>
      <c r="F114" s="22">
        <f>IF(B114="","",D114-E114)</f>
        <v/>
      </c>
      <c r="G114" s="32">
        <f>IF(B114="","",DATE(YEAR(B114),MONTH(B114),1))</f>
        <v/>
      </c>
      <c r="H114" s="22">
        <f>IF(B114="","",COUNTIFS(Eventos!$D$8:$D$47,"&lt;="&amp;B114,Eventos!$M$8:$M$47,"&gt;="&amp;B114))</f>
        <v/>
      </c>
    </row>
    <row r="115">
      <c r="B115" s="19">
        <f>IF(Meses!$C$8+107&gt;=EDATE(Meses!$C$8,10),"",Meses!$C$8+107)</f>
        <v/>
      </c>
      <c r="C115" s="21">
        <f>IF(B115="","",MID("LunMarMiéJueVieSábDom",(WEEKDAY(B115,2)-1)*3+1,3))</f>
        <v/>
      </c>
      <c r="D115" s="22">
        <f>IF(B115="","",IF(AND(WEEKDAY(B115,2)&lt;=5,B115&gt;=Panel!$E$5,B115&lt;=Panel!$G$5),1,0))</f>
        <v/>
      </c>
      <c r="E115" s="22">
        <f>IF(B115="","",IF(D115=1,IF(COUNTIFS(Eventos!$D$8:$D$47,"&lt;="&amp;B115,Eventos!$M$8:$M$47,"&gt;="&amp;B115,Eventos!$I$8:$I$47,"Sí")&gt;0,1,0),0))</f>
        <v/>
      </c>
      <c r="F115" s="22">
        <f>IF(B115="","",D115-E115)</f>
        <v/>
      </c>
      <c r="G115" s="32">
        <f>IF(B115="","",DATE(YEAR(B115),MONTH(B115),1))</f>
        <v/>
      </c>
      <c r="H115" s="22">
        <f>IF(B115="","",COUNTIFS(Eventos!$D$8:$D$47,"&lt;="&amp;B115,Eventos!$M$8:$M$47,"&gt;="&amp;B115))</f>
        <v/>
      </c>
    </row>
    <row r="116">
      <c r="B116" s="19">
        <f>IF(Meses!$C$8+108&gt;=EDATE(Meses!$C$8,10),"",Meses!$C$8+108)</f>
        <v/>
      </c>
      <c r="C116" s="21">
        <f>IF(B116="","",MID("LunMarMiéJueVieSábDom",(WEEKDAY(B116,2)-1)*3+1,3))</f>
        <v/>
      </c>
      <c r="D116" s="22">
        <f>IF(B116="","",IF(AND(WEEKDAY(B116,2)&lt;=5,B116&gt;=Panel!$E$5,B116&lt;=Panel!$G$5),1,0))</f>
        <v/>
      </c>
      <c r="E116" s="22">
        <f>IF(B116="","",IF(D116=1,IF(COUNTIFS(Eventos!$D$8:$D$47,"&lt;="&amp;B116,Eventos!$M$8:$M$47,"&gt;="&amp;B116,Eventos!$I$8:$I$47,"Sí")&gt;0,1,0),0))</f>
        <v/>
      </c>
      <c r="F116" s="22">
        <f>IF(B116="","",D116-E116)</f>
        <v/>
      </c>
      <c r="G116" s="32">
        <f>IF(B116="","",DATE(YEAR(B116),MONTH(B116),1))</f>
        <v/>
      </c>
      <c r="H116" s="22">
        <f>IF(B116="","",COUNTIFS(Eventos!$D$8:$D$47,"&lt;="&amp;B116,Eventos!$M$8:$M$47,"&gt;="&amp;B116))</f>
        <v/>
      </c>
    </row>
    <row r="117">
      <c r="B117" s="19">
        <f>IF(Meses!$C$8+109&gt;=EDATE(Meses!$C$8,10),"",Meses!$C$8+109)</f>
        <v/>
      </c>
      <c r="C117" s="21">
        <f>IF(B117="","",MID("LunMarMiéJueVieSábDom",(WEEKDAY(B117,2)-1)*3+1,3))</f>
        <v/>
      </c>
      <c r="D117" s="22">
        <f>IF(B117="","",IF(AND(WEEKDAY(B117,2)&lt;=5,B117&gt;=Panel!$E$5,B117&lt;=Panel!$G$5),1,0))</f>
        <v/>
      </c>
      <c r="E117" s="22">
        <f>IF(B117="","",IF(D117=1,IF(COUNTIFS(Eventos!$D$8:$D$47,"&lt;="&amp;B117,Eventos!$M$8:$M$47,"&gt;="&amp;B117,Eventos!$I$8:$I$47,"Sí")&gt;0,1,0),0))</f>
        <v/>
      </c>
      <c r="F117" s="22">
        <f>IF(B117="","",D117-E117)</f>
        <v/>
      </c>
      <c r="G117" s="32">
        <f>IF(B117="","",DATE(YEAR(B117),MONTH(B117),1))</f>
        <v/>
      </c>
      <c r="H117" s="22">
        <f>IF(B117="","",COUNTIFS(Eventos!$D$8:$D$47,"&lt;="&amp;B117,Eventos!$M$8:$M$47,"&gt;="&amp;B117))</f>
        <v/>
      </c>
    </row>
    <row r="118">
      <c r="B118" s="19">
        <f>IF(Meses!$C$8+110&gt;=EDATE(Meses!$C$8,10),"",Meses!$C$8+110)</f>
        <v/>
      </c>
      <c r="C118" s="21">
        <f>IF(B118="","",MID("LunMarMiéJueVieSábDom",(WEEKDAY(B118,2)-1)*3+1,3))</f>
        <v/>
      </c>
      <c r="D118" s="22">
        <f>IF(B118="","",IF(AND(WEEKDAY(B118,2)&lt;=5,B118&gt;=Panel!$E$5,B118&lt;=Panel!$G$5),1,0))</f>
        <v/>
      </c>
      <c r="E118" s="22">
        <f>IF(B118="","",IF(D118=1,IF(COUNTIFS(Eventos!$D$8:$D$47,"&lt;="&amp;B118,Eventos!$M$8:$M$47,"&gt;="&amp;B118,Eventos!$I$8:$I$47,"Sí")&gt;0,1,0),0))</f>
        <v/>
      </c>
      <c r="F118" s="22">
        <f>IF(B118="","",D118-E118)</f>
        <v/>
      </c>
      <c r="G118" s="32">
        <f>IF(B118="","",DATE(YEAR(B118),MONTH(B118),1))</f>
        <v/>
      </c>
      <c r="H118" s="22">
        <f>IF(B118="","",COUNTIFS(Eventos!$D$8:$D$47,"&lt;="&amp;B118,Eventos!$M$8:$M$47,"&gt;="&amp;B118))</f>
        <v/>
      </c>
    </row>
    <row r="119">
      <c r="B119" s="19">
        <f>IF(Meses!$C$8+111&gt;=EDATE(Meses!$C$8,10),"",Meses!$C$8+111)</f>
        <v/>
      </c>
      <c r="C119" s="21">
        <f>IF(B119="","",MID("LunMarMiéJueVieSábDom",(WEEKDAY(B119,2)-1)*3+1,3))</f>
        <v/>
      </c>
      <c r="D119" s="22">
        <f>IF(B119="","",IF(AND(WEEKDAY(B119,2)&lt;=5,B119&gt;=Panel!$E$5,B119&lt;=Panel!$G$5),1,0))</f>
        <v/>
      </c>
      <c r="E119" s="22">
        <f>IF(B119="","",IF(D119=1,IF(COUNTIFS(Eventos!$D$8:$D$47,"&lt;="&amp;B119,Eventos!$M$8:$M$47,"&gt;="&amp;B119,Eventos!$I$8:$I$47,"Sí")&gt;0,1,0),0))</f>
        <v/>
      </c>
      <c r="F119" s="22">
        <f>IF(B119="","",D119-E119)</f>
        <v/>
      </c>
      <c r="G119" s="32">
        <f>IF(B119="","",DATE(YEAR(B119),MONTH(B119),1))</f>
        <v/>
      </c>
      <c r="H119" s="22">
        <f>IF(B119="","",COUNTIFS(Eventos!$D$8:$D$47,"&lt;="&amp;B119,Eventos!$M$8:$M$47,"&gt;="&amp;B119))</f>
        <v/>
      </c>
    </row>
    <row r="120">
      <c r="B120" s="19">
        <f>IF(Meses!$C$8+112&gt;=EDATE(Meses!$C$8,10),"",Meses!$C$8+112)</f>
        <v/>
      </c>
      <c r="C120" s="21">
        <f>IF(B120="","",MID("LunMarMiéJueVieSábDom",(WEEKDAY(B120,2)-1)*3+1,3))</f>
        <v/>
      </c>
      <c r="D120" s="22">
        <f>IF(B120="","",IF(AND(WEEKDAY(B120,2)&lt;=5,B120&gt;=Panel!$E$5,B120&lt;=Panel!$G$5),1,0))</f>
        <v/>
      </c>
      <c r="E120" s="22">
        <f>IF(B120="","",IF(D120=1,IF(COUNTIFS(Eventos!$D$8:$D$47,"&lt;="&amp;B120,Eventos!$M$8:$M$47,"&gt;="&amp;B120,Eventos!$I$8:$I$47,"Sí")&gt;0,1,0),0))</f>
        <v/>
      </c>
      <c r="F120" s="22">
        <f>IF(B120="","",D120-E120)</f>
        <v/>
      </c>
      <c r="G120" s="32">
        <f>IF(B120="","",DATE(YEAR(B120),MONTH(B120),1))</f>
        <v/>
      </c>
      <c r="H120" s="22">
        <f>IF(B120="","",COUNTIFS(Eventos!$D$8:$D$47,"&lt;="&amp;B120,Eventos!$M$8:$M$47,"&gt;="&amp;B120))</f>
        <v/>
      </c>
    </row>
    <row r="121">
      <c r="B121" s="19">
        <f>IF(Meses!$C$8+113&gt;=EDATE(Meses!$C$8,10),"",Meses!$C$8+113)</f>
        <v/>
      </c>
      <c r="C121" s="21">
        <f>IF(B121="","",MID("LunMarMiéJueVieSábDom",(WEEKDAY(B121,2)-1)*3+1,3))</f>
        <v/>
      </c>
      <c r="D121" s="22">
        <f>IF(B121="","",IF(AND(WEEKDAY(B121,2)&lt;=5,B121&gt;=Panel!$E$5,B121&lt;=Panel!$G$5),1,0))</f>
        <v/>
      </c>
      <c r="E121" s="22">
        <f>IF(B121="","",IF(D121=1,IF(COUNTIFS(Eventos!$D$8:$D$47,"&lt;="&amp;B121,Eventos!$M$8:$M$47,"&gt;="&amp;B121,Eventos!$I$8:$I$47,"Sí")&gt;0,1,0),0))</f>
        <v/>
      </c>
      <c r="F121" s="22">
        <f>IF(B121="","",D121-E121)</f>
        <v/>
      </c>
      <c r="G121" s="32">
        <f>IF(B121="","",DATE(YEAR(B121),MONTH(B121),1))</f>
        <v/>
      </c>
      <c r="H121" s="22">
        <f>IF(B121="","",COUNTIFS(Eventos!$D$8:$D$47,"&lt;="&amp;B121,Eventos!$M$8:$M$47,"&gt;="&amp;B121))</f>
        <v/>
      </c>
    </row>
    <row r="122">
      <c r="B122" s="19">
        <f>IF(Meses!$C$8+114&gt;=EDATE(Meses!$C$8,10),"",Meses!$C$8+114)</f>
        <v/>
      </c>
      <c r="C122" s="21">
        <f>IF(B122="","",MID("LunMarMiéJueVieSábDom",(WEEKDAY(B122,2)-1)*3+1,3))</f>
        <v/>
      </c>
      <c r="D122" s="22">
        <f>IF(B122="","",IF(AND(WEEKDAY(B122,2)&lt;=5,B122&gt;=Panel!$E$5,B122&lt;=Panel!$G$5),1,0))</f>
        <v/>
      </c>
      <c r="E122" s="22">
        <f>IF(B122="","",IF(D122=1,IF(COUNTIFS(Eventos!$D$8:$D$47,"&lt;="&amp;B122,Eventos!$M$8:$M$47,"&gt;="&amp;B122,Eventos!$I$8:$I$47,"Sí")&gt;0,1,0),0))</f>
        <v/>
      </c>
      <c r="F122" s="22">
        <f>IF(B122="","",D122-E122)</f>
        <v/>
      </c>
      <c r="G122" s="32">
        <f>IF(B122="","",DATE(YEAR(B122),MONTH(B122),1))</f>
        <v/>
      </c>
      <c r="H122" s="22">
        <f>IF(B122="","",COUNTIFS(Eventos!$D$8:$D$47,"&lt;="&amp;B122,Eventos!$M$8:$M$47,"&gt;="&amp;B122))</f>
        <v/>
      </c>
    </row>
    <row r="123">
      <c r="B123" s="19">
        <f>IF(Meses!$C$8+115&gt;=EDATE(Meses!$C$8,10),"",Meses!$C$8+115)</f>
        <v/>
      </c>
      <c r="C123" s="21">
        <f>IF(B123="","",MID("LunMarMiéJueVieSábDom",(WEEKDAY(B123,2)-1)*3+1,3))</f>
        <v/>
      </c>
      <c r="D123" s="22">
        <f>IF(B123="","",IF(AND(WEEKDAY(B123,2)&lt;=5,B123&gt;=Panel!$E$5,B123&lt;=Panel!$G$5),1,0))</f>
        <v/>
      </c>
      <c r="E123" s="22">
        <f>IF(B123="","",IF(D123=1,IF(COUNTIFS(Eventos!$D$8:$D$47,"&lt;="&amp;B123,Eventos!$M$8:$M$47,"&gt;="&amp;B123,Eventos!$I$8:$I$47,"Sí")&gt;0,1,0),0))</f>
        <v/>
      </c>
      <c r="F123" s="22">
        <f>IF(B123="","",D123-E123)</f>
        <v/>
      </c>
      <c r="G123" s="32">
        <f>IF(B123="","",DATE(YEAR(B123),MONTH(B123),1))</f>
        <v/>
      </c>
      <c r="H123" s="22">
        <f>IF(B123="","",COUNTIFS(Eventos!$D$8:$D$47,"&lt;="&amp;B123,Eventos!$M$8:$M$47,"&gt;="&amp;B123))</f>
        <v/>
      </c>
    </row>
    <row r="124">
      <c r="B124" s="19">
        <f>IF(Meses!$C$8+116&gt;=EDATE(Meses!$C$8,10),"",Meses!$C$8+116)</f>
        <v/>
      </c>
      <c r="C124" s="21">
        <f>IF(B124="","",MID("LunMarMiéJueVieSábDom",(WEEKDAY(B124,2)-1)*3+1,3))</f>
        <v/>
      </c>
      <c r="D124" s="22">
        <f>IF(B124="","",IF(AND(WEEKDAY(B124,2)&lt;=5,B124&gt;=Panel!$E$5,B124&lt;=Panel!$G$5),1,0))</f>
        <v/>
      </c>
      <c r="E124" s="22">
        <f>IF(B124="","",IF(D124=1,IF(COUNTIFS(Eventos!$D$8:$D$47,"&lt;="&amp;B124,Eventos!$M$8:$M$47,"&gt;="&amp;B124,Eventos!$I$8:$I$47,"Sí")&gt;0,1,0),0))</f>
        <v/>
      </c>
      <c r="F124" s="22">
        <f>IF(B124="","",D124-E124)</f>
        <v/>
      </c>
      <c r="G124" s="32">
        <f>IF(B124="","",DATE(YEAR(B124),MONTH(B124),1))</f>
        <v/>
      </c>
      <c r="H124" s="22">
        <f>IF(B124="","",COUNTIFS(Eventos!$D$8:$D$47,"&lt;="&amp;B124,Eventos!$M$8:$M$47,"&gt;="&amp;B124))</f>
        <v/>
      </c>
    </row>
    <row r="125">
      <c r="B125" s="19">
        <f>IF(Meses!$C$8+117&gt;=EDATE(Meses!$C$8,10),"",Meses!$C$8+117)</f>
        <v/>
      </c>
      <c r="C125" s="21">
        <f>IF(B125="","",MID("LunMarMiéJueVieSábDom",(WEEKDAY(B125,2)-1)*3+1,3))</f>
        <v/>
      </c>
      <c r="D125" s="22">
        <f>IF(B125="","",IF(AND(WEEKDAY(B125,2)&lt;=5,B125&gt;=Panel!$E$5,B125&lt;=Panel!$G$5),1,0))</f>
        <v/>
      </c>
      <c r="E125" s="22">
        <f>IF(B125="","",IF(D125=1,IF(COUNTIFS(Eventos!$D$8:$D$47,"&lt;="&amp;B125,Eventos!$M$8:$M$47,"&gt;="&amp;B125,Eventos!$I$8:$I$47,"Sí")&gt;0,1,0),0))</f>
        <v/>
      </c>
      <c r="F125" s="22">
        <f>IF(B125="","",D125-E125)</f>
        <v/>
      </c>
      <c r="G125" s="32">
        <f>IF(B125="","",DATE(YEAR(B125),MONTH(B125),1))</f>
        <v/>
      </c>
      <c r="H125" s="22">
        <f>IF(B125="","",COUNTIFS(Eventos!$D$8:$D$47,"&lt;="&amp;B125,Eventos!$M$8:$M$47,"&gt;="&amp;B125))</f>
        <v/>
      </c>
    </row>
    <row r="126">
      <c r="B126" s="19">
        <f>IF(Meses!$C$8+118&gt;=EDATE(Meses!$C$8,10),"",Meses!$C$8+118)</f>
        <v/>
      </c>
      <c r="C126" s="21">
        <f>IF(B126="","",MID("LunMarMiéJueVieSábDom",(WEEKDAY(B126,2)-1)*3+1,3))</f>
        <v/>
      </c>
      <c r="D126" s="22">
        <f>IF(B126="","",IF(AND(WEEKDAY(B126,2)&lt;=5,B126&gt;=Panel!$E$5,B126&lt;=Panel!$G$5),1,0))</f>
        <v/>
      </c>
      <c r="E126" s="22">
        <f>IF(B126="","",IF(D126=1,IF(COUNTIFS(Eventos!$D$8:$D$47,"&lt;="&amp;B126,Eventos!$M$8:$M$47,"&gt;="&amp;B126,Eventos!$I$8:$I$47,"Sí")&gt;0,1,0),0))</f>
        <v/>
      </c>
      <c r="F126" s="22">
        <f>IF(B126="","",D126-E126)</f>
        <v/>
      </c>
      <c r="G126" s="32">
        <f>IF(B126="","",DATE(YEAR(B126),MONTH(B126),1))</f>
        <v/>
      </c>
      <c r="H126" s="22">
        <f>IF(B126="","",COUNTIFS(Eventos!$D$8:$D$47,"&lt;="&amp;B126,Eventos!$M$8:$M$47,"&gt;="&amp;B126))</f>
        <v/>
      </c>
    </row>
    <row r="127">
      <c r="B127" s="19">
        <f>IF(Meses!$C$8+119&gt;=EDATE(Meses!$C$8,10),"",Meses!$C$8+119)</f>
        <v/>
      </c>
      <c r="C127" s="21">
        <f>IF(B127="","",MID("LunMarMiéJueVieSábDom",(WEEKDAY(B127,2)-1)*3+1,3))</f>
        <v/>
      </c>
      <c r="D127" s="22">
        <f>IF(B127="","",IF(AND(WEEKDAY(B127,2)&lt;=5,B127&gt;=Panel!$E$5,B127&lt;=Panel!$G$5),1,0))</f>
        <v/>
      </c>
      <c r="E127" s="22">
        <f>IF(B127="","",IF(D127=1,IF(COUNTIFS(Eventos!$D$8:$D$47,"&lt;="&amp;B127,Eventos!$M$8:$M$47,"&gt;="&amp;B127,Eventos!$I$8:$I$47,"Sí")&gt;0,1,0),0))</f>
        <v/>
      </c>
      <c r="F127" s="22">
        <f>IF(B127="","",D127-E127)</f>
        <v/>
      </c>
      <c r="G127" s="32">
        <f>IF(B127="","",DATE(YEAR(B127),MONTH(B127),1))</f>
        <v/>
      </c>
      <c r="H127" s="22">
        <f>IF(B127="","",COUNTIFS(Eventos!$D$8:$D$47,"&lt;="&amp;B127,Eventos!$M$8:$M$47,"&gt;="&amp;B127))</f>
        <v/>
      </c>
    </row>
    <row r="128">
      <c r="B128" s="19">
        <f>IF(Meses!$C$8+120&gt;=EDATE(Meses!$C$8,10),"",Meses!$C$8+120)</f>
        <v/>
      </c>
      <c r="C128" s="21">
        <f>IF(B128="","",MID("LunMarMiéJueVieSábDom",(WEEKDAY(B128,2)-1)*3+1,3))</f>
        <v/>
      </c>
      <c r="D128" s="22">
        <f>IF(B128="","",IF(AND(WEEKDAY(B128,2)&lt;=5,B128&gt;=Panel!$E$5,B128&lt;=Panel!$G$5),1,0))</f>
        <v/>
      </c>
      <c r="E128" s="22">
        <f>IF(B128="","",IF(D128=1,IF(COUNTIFS(Eventos!$D$8:$D$47,"&lt;="&amp;B128,Eventos!$M$8:$M$47,"&gt;="&amp;B128,Eventos!$I$8:$I$47,"Sí")&gt;0,1,0),0))</f>
        <v/>
      </c>
      <c r="F128" s="22">
        <f>IF(B128="","",D128-E128)</f>
        <v/>
      </c>
      <c r="G128" s="32">
        <f>IF(B128="","",DATE(YEAR(B128),MONTH(B128),1))</f>
        <v/>
      </c>
      <c r="H128" s="22">
        <f>IF(B128="","",COUNTIFS(Eventos!$D$8:$D$47,"&lt;="&amp;B128,Eventos!$M$8:$M$47,"&gt;="&amp;B128))</f>
        <v/>
      </c>
    </row>
    <row r="129">
      <c r="B129" s="19">
        <f>IF(Meses!$C$8+121&gt;=EDATE(Meses!$C$8,10),"",Meses!$C$8+121)</f>
        <v/>
      </c>
      <c r="C129" s="21">
        <f>IF(B129="","",MID("LunMarMiéJueVieSábDom",(WEEKDAY(B129,2)-1)*3+1,3))</f>
        <v/>
      </c>
      <c r="D129" s="22">
        <f>IF(B129="","",IF(AND(WEEKDAY(B129,2)&lt;=5,B129&gt;=Panel!$E$5,B129&lt;=Panel!$G$5),1,0))</f>
        <v/>
      </c>
      <c r="E129" s="22">
        <f>IF(B129="","",IF(D129=1,IF(COUNTIFS(Eventos!$D$8:$D$47,"&lt;="&amp;B129,Eventos!$M$8:$M$47,"&gt;="&amp;B129,Eventos!$I$8:$I$47,"Sí")&gt;0,1,0),0))</f>
        <v/>
      </c>
      <c r="F129" s="22">
        <f>IF(B129="","",D129-E129)</f>
        <v/>
      </c>
      <c r="G129" s="32">
        <f>IF(B129="","",DATE(YEAR(B129),MONTH(B129),1))</f>
        <v/>
      </c>
      <c r="H129" s="22">
        <f>IF(B129="","",COUNTIFS(Eventos!$D$8:$D$47,"&lt;="&amp;B129,Eventos!$M$8:$M$47,"&gt;="&amp;B129))</f>
        <v/>
      </c>
    </row>
    <row r="130">
      <c r="B130" s="19">
        <f>IF(Meses!$C$8+122&gt;=EDATE(Meses!$C$8,10),"",Meses!$C$8+122)</f>
        <v/>
      </c>
      <c r="C130" s="21">
        <f>IF(B130="","",MID("LunMarMiéJueVieSábDom",(WEEKDAY(B130,2)-1)*3+1,3))</f>
        <v/>
      </c>
      <c r="D130" s="22">
        <f>IF(B130="","",IF(AND(WEEKDAY(B130,2)&lt;=5,B130&gt;=Panel!$E$5,B130&lt;=Panel!$G$5),1,0))</f>
        <v/>
      </c>
      <c r="E130" s="22">
        <f>IF(B130="","",IF(D130=1,IF(COUNTIFS(Eventos!$D$8:$D$47,"&lt;="&amp;B130,Eventos!$M$8:$M$47,"&gt;="&amp;B130,Eventos!$I$8:$I$47,"Sí")&gt;0,1,0),0))</f>
        <v/>
      </c>
      <c r="F130" s="22">
        <f>IF(B130="","",D130-E130)</f>
        <v/>
      </c>
      <c r="G130" s="32">
        <f>IF(B130="","",DATE(YEAR(B130),MONTH(B130),1))</f>
        <v/>
      </c>
      <c r="H130" s="22">
        <f>IF(B130="","",COUNTIFS(Eventos!$D$8:$D$47,"&lt;="&amp;B130,Eventos!$M$8:$M$47,"&gt;="&amp;B130))</f>
        <v/>
      </c>
    </row>
    <row r="131">
      <c r="B131" s="19">
        <f>IF(Meses!$C$8+123&gt;=EDATE(Meses!$C$8,10),"",Meses!$C$8+123)</f>
        <v/>
      </c>
      <c r="C131" s="21">
        <f>IF(B131="","",MID("LunMarMiéJueVieSábDom",(WEEKDAY(B131,2)-1)*3+1,3))</f>
        <v/>
      </c>
      <c r="D131" s="22">
        <f>IF(B131="","",IF(AND(WEEKDAY(B131,2)&lt;=5,B131&gt;=Panel!$E$5,B131&lt;=Panel!$G$5),1,0))</f>
        <v/>
      </c>
      <c r="E131" s="22">
        <f>IF(B131="","",IF(D131=1,IF(COUNTIFS(Eventos!$D$8:$D$47,"&lt;="&amp;B131,Eventos!$M$8:$M$47,"&gt;="&amp;B131,Eventos!$I$8:$I$47,"Sí")&gt;0,1,0),0))</f>
        <v/>
      </c>
      <c r="F131" s="22">
        <f>IF(B131="","",D131-E131)</f>
        <v/>
      </c>
      <c r="G131" s="32">
        <f>IF(B131="","",DATE(YEAR(B131),MONTH(B131),1))</f>
        <v/>
      </c>
      <c r="H131" s="22">
        <f>IF(B131="","",COUNTIFS(Eventos!$D$8:$D$47,"&lt;="&amp;B131,Eventos!$M$8:$M$47,"&gt;="&amp;B131))</f>
        <v/>
      </c>
    </row>
    <row r="132">
      <c r="B132" s="19">
        <f>IF(Meses!$C$8+124&gt;=EDATE(Meses!$C$8,10),"",Meses!$C$8+124)</f>
        <v/>
      </c>
      <c r="C132" s="21">
        <f>IF(B132="","",MID("LunMarMiéJueVieSábDom",(WEEKDAY(B132,2)-1)*3+1,3))</f>
        <v/>
      </c>
      <c r="D132" s="22">
        <f>IF(B132="","",IF(AND(WEEKDAY(B132,2)&lt;=5,B132&gt;=Panel!$E$5,B132&lt;=Panel!$G$5),1,0))</f>
        <v/>
      </c>
      <c r="E132" s="22">
        <f>IF(B132="","",IF(D132=1,IF(COUNTIFS(Eventos!$D$8:$D$47,"&lt;="&amp;B132,Eventos!$M$8:$M$47,"&gt;="&amp;B132,Eventos!$I$8:$I$47,"Sí")&gt;0,1,0),0))</f>
        <v/>
      </c>
      <c r="F132" s="22">
        <f>IF(B132="","",D132-E132)</f>
        <v/>
      </c>
      <c r="G132" s="32">
        <f>IF(B132="","",DATE(YEAR(B132),MONTH(B132),1))</f>
        <v/>
      </c>
      <c r="H132" s="22">
        <f>IF(B132="","",COUNTIFS(Eventos!$D$8:$D$47,"&lt;="&amp;B132,Eventos!$M$8:$M$47,"&gt;="&amp;B132))</f>
        <v/>
      </c>
    </row>
    <row r="133">
      <c r="B133" s="19">
        <f>IF(Meses!$C$8+125&gt;=EDATE(Meses!$C$8,10),"",Meses!$C$8+125)</f>
        <v/>
      </c>
      <c r="C133" s="21">
        <f>IF(B133="","",MID("LunMarMiéJueVieSábDom",(WEEKDAY(B133,2)-1)*3+1,3))</f>
        <v/>
      </c>
      <c r="D133" s="22">
        <f>IF(B133="","",IF(AND(WEEKDAY(B133,2)&lt;=5,B133&gt;=Panel!$E$5,B133&lt;=Panel!$G$5),1,0))</f>
        <v/>
      </c>
      <c r="E133" s="22">
        <f>IF(B133="","",IF(D133=1,IF(COUNTIFS(Eventos!$D$8:$D$47,"&lt;="&amp;B133,Eventos!$M$8:$M$47,"&gt;="&amp;B133,Eventos!$I$8:$I$47,"Sí")&gt;0,1,0),0))</f>
        <v/>
      </c>
      <c r="F133" s="22">
        <f>IF(B133="","",D133-E133)</f>
        <v/>
      </c>
      <c r="G133" s="32">
        <f>IF(B133="","",DATE(YEAR(B133),MONTH(B133),1))</f>
        <v/>
      </c>
      <c r="H133" s="22">
        <f>IF(B133="","",COUNTIFS(Eventos!$D$8:$D$47,"&lt;="&amp;B133,Eventos!$M$8:$M$47,"&gt;="&amp;B133))</f>
        <v/>
      </c>
    </row>
    <row r="134">
      <c r="B134" s="19">
        <f>IF(Meses!$C$8+126&gt;=EDATE(Meses!$C$8,10),"",Meses!$C$8+126)</f>
        <v/>
      </c>
      <c r="C134" s="21">
        <f>IF(B134="","",MID("LunMarMiéJueVieSábDom",(WEEKDAY(B134,2)-1)*3+1,3))</f>
        <v/>
      </c>
      <c r="D134" s="22">
        <f>IF(B134="","",IF(AND(WEEKDAY(B134,2)&lt;=5,B134&gt;=Panel!$E$5,B134&lt;=Panel!$G$5),1,0))</f>
        <v/>
      </c>
      <c r="E134" s="22">
        <f>IF(B134="","",IF(D134=1,IF(COUNTIFS(Eventos!$D$8:$D$47,"&lt;="&amp;B134,Eventos!$M$8:$M$47,"&gt;="&amp;B134,Eventos!$I$8:$I$47,"Sí")&gt;0,1,0),0))</f>
        <v/>
      </c>
      <c r="F134" s="22">
        <f>IF(B134="","",D134-E134)</f>
        <v/>
      </c>
      <c r="G134" s="32">
        <f>IF(B134="","",DATE(YEAR(B134),MONTH(B134),1))</f>
        <v/>
      </c>
      <c r="H134" s="22">
        <f>IF(B134="","",COUNTIFS(Eventos!$D$8:$D$47,"&lt;="&amp;B134,Eventos!$M$8:$M$47,"&gt;="&amp;B134))</f>
        <v/>
      </c>
    </row>
    <row r="135">
      <c r="B135" s="19">
        <f>IF(Meses!$C$8+127&gt;=EDATE(Meses!$C$8,10),"",Meses!$C$8+127)</f>
        <v/>
      </c>
      <c r="C135" s="21">
        <f>IF(B135="","",MID("LunMarMiéJueVieSábDom",(WEEKDAY(B135,2)-1)*3+1,3))</f>
        <v/>
      </c>
      <c r="D135" s="22">
        <f>IF(B135="","",IF(AND(WEEKDAY(B135,2)&lt;=5,B135&gt;=Panel!$E$5,B135&lt;=Panel!$G$5),1,0))</f>
        <v/>
      </c>
      <c r="E135" s="22">
        <f>IF(B135="","",IF(D135=1,IF(COUNTIFS(Eventos!$D$8:$D$47,"&lt;="&amp;B135,Eventos!$M$8:$M$47,"&gt;="&amp;B135,Eventos!$I$8:$I$47,"Sí")&gt;0,1,0),0))</f>
        <v/>
      </c>
      <c r="F135" s="22">
        <f>IF(B135="","",D135-E135)</f>
        <v/>
      </c>
      <c r="G135" s="32">
        <f>IF(B135="","",DATE(YEAR(B135),MONTH(B135),1))</f>
        <v/>
      </c>
      <c r="H135" s="22">
        <f>IF(B135="","",COUNTIFS(Eventos!$D$8:$D$47,"&lt;="&amp;B135,Eventos!$M$8:$M$47,"&gt;="&amp;B135))</f>
        <v/>
      </c>
    </row>
    <row r="136">
      <c r="B136" s="19">
        <f>IF(Meses!$C$8+128&gt;=EDATE(Meses!$C$8,10),"",Meses!$C$8+128)</f>
        <v/>
      </c>
      <c r="C136" s="21">
        <f>IF(B136="","",MID("LunMarMiéJueVieSábDom",(WEEKDAY(B136,2)-1)*3+1,3))</f>
        <v/>
      </c>
      <c r="D136" s="22">
        <f>IF(B136="","",IF(AND(WEEKDAY(B136,2)&lt;=5,B136&gt;=Panel!$E$5,B136&lt;=Panel!$G$5),1,0))</f>
        <v/>
      </c>
      <c r="E136" s="22">
        <f>IF(B136="","",IF(D136=1,IF(COUNTIFS(Eventos!$D$8:$D$47,"&lt;="&amp;B136,Eventos!$M$8:$M$47,"&gt;="&amp;B136,Eventos!$I$8:$I$47,"Sí")&gt;0,1,0),0))</f>
        <v/>
      </c>
      <c r="F136" s="22">
        <f>IF(B136="","",D136-E136)</f>
        <v/>
      </c>
      <c r="G136" s="32">
        <f>IF(B136="","",DATE(YEAR(B136),MONTH(B136),1))</f>
        <v/>
      </c>
      <c r="H136" s="22">
        <f>IF(B136="","",COUNTIFS(Eventos!$D$8:$D$47,"&lt;="&amp;B136,Eventos!$M$8:$M$47,"&gt;="&amp;B136))</f>
        <v/>
      </c>
    </row>
    <row r="137">
      <c r="B137" s="19">
        <f>IF(Meses!$C$8+129&gt;=EDATE(Meses!$C$8,10),"",Meses!$C$8+129)</f>
        <v/>
      </c>
      <c r="C137" s="21">
        <f>IF(B137="","",MID("LunMarMiéJueVieSábDom",(WEEKDAY(B137,2)-1)*3+1,3))</f>
        <v/>
      </c>
      <c r="D137" s="22">
        <f>IF(B137="","",IF(AND(WEEKDAY(B137,2)&lt;=5,B137&gt;=Panel!$E$5,B137&lt;=Panel!$G$5),1,0))</f>
        <v/>
      </c>
      <c r="E137" s="22">
        <f>IF(B137="","",IF(D137=1,IF(COUNTIFS(Eventos!$D$8:$D$47,"&lt;="&amp;B137,Eventos!$M$8:$M$47,"&gt;="&amp;B137,Eventos!$I$8:$I$47,"Sí")&gt;0,1,0),0))</f>
        <v/>
      </c>
      <c r="F137" s="22">
        <f>IF(B137="","",D137-E137)</f>
        <v/>
      </c>
      <c r="G137" s="32">
        <f>IF(B137="","",DATE(YEAR(B137),MONTH(B137),1))</f>
        <v/>
      </c>
      <c r="H137" s="22">
        <f>IF(B137="","",COUNTIFS(Eventos!$D$8:$D$47,"&lt;="&amp;B137,Eventos!$M$8:$M$47,"&gt;="&amp;B137))</f>
        <v/>
      </c>
    </row>
    <row r="138">
      <c r="B138" s="19">
        <f>IF(Meses!$C$8+130&gt;=EDATE(Meses!$C$8,10),"",Meses!$C$8+130)</f>
        <v/>
      </c>
      <c r="C138" s="21">
        <f>IF(B138="","",MID("LunMarMiéJueVieSábDom",(WEEKDAY(B138,2)-1)*3+1,3))</f>
        <v/>
      </c>
      <c r="D138" s="22">
        <f>IF(B138="","",IF(AND(WEEKDAY(B138,2)&lt;=5,B138&gt;=Panel!$E$5,B138&lt;=Panel!$G$5),1,0))</f>
        <v/>
      </c>
      <c r="E138" s="22">
        <f>IF(B138="","",IF(D138=1,IF(COUNTIFS(Eventos!$D$8:$D$47,"&lt;="&amp;B138,Eventos!$M$8:$M$47,"&gt;="&amp;B138,Eventos!$I$8:$I$47,"Sí")&gt;0,1,0),0))</f>
        <v/>
      </c>
      <c r="F138" s="22">
        <f>IF(B138="","",D138-E138)</f>
        <v/>
      </c>
      <c r="G138" s="32">
        <f>IF(B138="","",DATE(YEAR(B138),MONTH(B138),1))</f>
        <v/>
      </c>
      <c r="H138" s="22">
        <f>IF(B138="","",COUNTIFS(Eventos!$D$8:$D$47,"&lt;="&amp;B138,Eventos!$M$8:$M$47,"&gt;="&amp;B138))</f>
        <v/>
      </c>
    </row>
    <row r="139">
      <c r="B139" s="19">
        <f>IF(Meses!$C$8+131&gt;=EDATE(Meses!$C$8,10),"",Meses!$C$8+131)</f>
        <v/>
      </c>
      <c r="C139" s="21">
        <f>IF(B139="","",MID("LunMarMiéJueVieSábDom",(WEEKDAY(B139,2)-1)*3+1,3))</f>
        <v/>
      </c>
      <c r="D139" s="22">
        <f>IF(B139="","",IF(AND(WEEKDAY(B139,2)&lt;=5,B139&gt;=Panel!$E$5,B139&lt;=Panel!$G$5),1,0))</f>
        <v/>
      </c>
      <c r="E139" s="22">
        <f>IF(B139="","",IF(D139=1,IF(COUNTIFS(Eventos!$D$8:$D$47,"&lt;="&amp;B139,Eventos!$M$8:$M$47,"&gt;="&amp;B139,Eventos!$I$8:$I$47,"Sí")&gt;0,1,0),0))</f>
        <v/>
      </c>
      <c r="F139" s="22">
        <f>IF(B139="","",D139-E139)</f>
        <v/>
      </c>
      <c r="G139" s="32">
        <f>IF(B139="","",DATE(YEAR(B139),MONTH(B139),1))</f>
        <v/>
      </c>
      <c r="H139" s="22">
        <f>IF(B139="","",COUNTIFS(Eventos!$D$8:$D$47,"&lt;="&amp;B139,Eventos!$M$8:$M$47,"&gt;="&amp;B139))</f>
        <v/>
      </c>
    </row>
    <row r="140">
      <c r="B140" s="19">
        <f>IF(Meses!$C$8+132&gt;=EDATE(Meses!$C$8,10),"",Meses!$C$8+132)</f>
        <v/>
      </c>
      <c r="C140" s="21">
        <f>IF(B140="","",MID("LunMarMiéJueVieSábDom",(WEEKDAY(B140,2)-1)*3+1,3))</f>
        <v/>
      </c>
      <c r="D140" s="22">
        <f>IF(B140="","",IF(AND(WEEKDAY(B140,2)&lt;=5,B140&gt;=Panel!$E$5,B140&lt;=Panel!$G$5),1,0))</f>
        <v/>
      </c>
      <c r="E140" s="22">
        <f>IF(B140="","",IF(D140=1,IF(COUNTIFS(Eventos!$D$8:$D$47,"&lt;="&amp;B140,Eventos!$M$8:$M$47,"&gt;="&amp;B140,Eventos!$I$8:$I$47,"Sí")&gt;0,1,0),0))</f>
        <v/>
      </c>
      <c r="F140" s="22">
        <f>IF(B140="","",D140-E140)</f>
        <v/>
      </c>
      <c r="G140" s="32">
        <f>IF(B140="","",DATE(YEAR(B140),MONTH(B140),1))</f>
        <v/>
      </c>
      <c r="H140" s="22">
        <f>IF(B140="","",COUNTIFS(Eventos!$D$8:$D$47,"&lt;="&amp;B140,Eventos!$M$8:$M$47,"&gt;="&amp;B140))</f>
        <v/>
      </c>
    </row>
    <row r="141">
      <c r="B141" s="19">
        <f>IF(Meses!$C$8+133&gt;=EDATE(Meses!$C$8,10),"",Meses!$C$8+133)</f>
        <v/>
      </c>
      <c r="C141" s="21">
        <f>IF(B141="","",MID("LunMarMiéJueVieSábDom",(WEEKDAY(B141,2)-1)*3+1,3))</f>
        <v/>
      </c>
      <c r="D141" s="22">
        <f>IF(B141="","",IF(AND(WEEKDAY(B141,2)&lt;=5,B141&gt;=Panel!$E$5,B141&lt;=Panel!$G$5),1,0))</f>
        <v/>
      </c>
      <c r="E141" s="22">
        <f>IF(B141="","",IF(D141=1,IF(COUNTIFS(Eventos!$D$8:$D$47,"&lt;="&amp;B141,Eventos!$M$8:$M$47,"&gt;="&amp;B141,Eventos!$I$8:$I$47,"Sí")&gt;0,1,0),0))</f>
        <v/>
      </c>
      <c r="F141" s="22">
        <f>IF(B141="","",D141-E141)</f>
        <v/>
      </c>
      <c r="G141" s="32">
        <f>IF(B141="","",DATE(YEAR(B141),MONTH(B141),1))</f>
        <v/>
      </c>
      <c r="H141" s="22">
        <f>IF(B141="","",COUNTIFS(Eventos!$D$8:$D$47,"&lt;="&amp;B141,Eventos!$M$8:$M$47,"&gt;="&amp;B141))</f>
        <v/>
      </c>
    </row>
    <row r="142">
      <c r="B142" s="19">
        <f>IF(Meses!$C$8+134&gt;=EDATE(Meses!$C$8,10),"",Meses!$C$8+134)</f>
        <v/>
      </c>
      <c r="C142" s="21">
        <f>IF(B142="","",MID("LunMarMiéJueVieSábDom",(WEEKDAY(B142,2)-1)*3+1,3))</f>
        <v/>
      </c>
      <c r="D142" s="22">
        <f>IF(B142="","",IF(AND(WEEKDAY(B142,2)&lt;=5,B142&gt;=Panel!$E$5,B142&lt;=Panel!$G$5),1,0))</f>
        <v/>
      </c>
      <c r="E142" s="22">
        <f>IF(B142="","",IF(D142=1,IF(COUNTIFS(Eventos!$D$8:$D$47,"&lt;="&amp;B142,Eventos!$M$8:$M$47,"&gt;="&amp;B142,Eventos!$I$8:$I$47,"Sí")&gt;0,1,0),0))</f>
        <v/>
      </c>
      <c r="F142" s="22">
        <f>IF(B142="","",D142-E142)</f>
        <v/>
      </c>
      <c r="G142" s="32">
        <f>IF(B142="","",DATE(YEAR(B142),MONTH(B142),1))</f>
        <v/>
      </c>
      <c r="H142" s="22">
        <f>IF(B142="","",COUNTIFS(Eventos!$D$8:$D$47,"&lt;="&amp;B142,Eventos!$M$8:$M$47,"&gt;="&amp;B142))</f>
        <v/>
      </c>
    </row>
    <row r="143">
      <c r="B143" s="19">
        <f>IF(Meses!$C$8+135&gt;=EDATE(Meses!$C$8,10),"",Meses!$C$8+135)</f>
        <v/>
      </c>
      <c r="C143" s="21">
        <f>IF(B143="","",MID("LunMarMiéJueVieSábDom",(WEEKDAY(B143,2)-1)*3+1,3))</f>
        <v/>
      </c>
      <c r="D143" s="22">
        <f>IF(B143="","",IF(AND(WEEKDAY(B143,2)&lt;=5,B143&gt;=Panel!$E$5,B143&lt;=Panel!$G$5),1,0))</f>
        <v/>
      </c>
      <c r="E143" s="22">
        <f>IF(B143="","",IF(D143=1,IF(COUNTIFS(Eventos!$D$8:$D$47,"&lt;="&amp;B143,Eventos!$M$8:$M$47,"&gt;="&amp;B143,Eventos!$I$8:$I$47,"Sí")&gt;0,1,0),0))</f>
        <v/>
      </c>
      <c r="F143" s="22">
        <f>IF(B143="","",D143-E143)</f>
        <v/>
      </c>
      <c r="G143" s="32">
        <f>IF(B143="","",DATE(YEAR(B143),MONTH(B143),1))</f>
        <v/>
      </c>
      <c r="H143" s="22">
        <f>IF(B143="","",COUNTIFS(Eventos!$D$8:$D$47,"&lt;="&amp;B143,Eventos!$M$8:$M$47,"&gt;="&amp;B143))</f>
        <v/>
      </c>
    </row>
    <row r="144">
      <c r="B144" s="19">
        <f>IF(Meses!$C$8+136&gt;=EDATE(Meses!$C$8,10),"",Meses!$C$8+136)</f>
        <v/>
      </c>
      <c r="C144" s="21">
        <f>IF(B144="","",MID("LunMarMiéJueVieSábDom",(WEEKDAY(B144,2)-1)*3+1,3))</f>
        <v/>
      </c>
      <c r="D144" s="22">
        <f>IF(B144="","",IF(AND(WEEKDAY(B144,2)&lt;=5,B144&gt;=Panel!$E$5,B144&lt;=Panel!$G$5),1,0))</f>
        <v/>
      </c>
      <c r="E144" s="22">
        <f>IF(B144="","",IF(D144=1,IF(COUNTIFS(Eventos!$D$8:$D$47,"&lt;="&amp;B144,Eventos!$M$8:$M$47,"&gt;="&amp;B144,Eventos!$I$8:$I$47,"Sí")&gt;0,1,0),0))</f>
        <v/>
      </c>
      <c r="F144" s="22">
        <f>IF(B144="","",D144-E144)</f>
        <v/>
      </c>
      <c r="G144" s="32">
        <f>IF(B144="","",DATE(YEAR(B144),MONTH(B144),1))</f>
        <v/>
      </c>
      <c r="H144" s="22">
        <f>IF(B144="","",COUNTIFS(Eventos!$D$8:$D$47,"&lt;="&amp;B144,Eventos!$M$8:$M$47,"&gt;="&amp;B144))</f>
        <v/>
      </c>
    </row>
    <row r="145">
      <c r="B145" s="19">
        <f>IF(Meses!$C$8+137&gt;=EDATE(Meses!$C$8,10),"",Meses!$C$8+137)</f>
        <v/>
      </c>
      <c r="C145" s="21">
        <f>IF(B145="","",MID("LunMarMiéJueVieSábDom",(WEEKDAY(B145,2)-1)*3+1,3))</f>
        <v/>
      </c>
      <c r="D145" s="22">
        <f>IF(B145="","",IF(AND(WEEKDAY(B145,2)&lt;=5,B145&gt;=Panel!$E$5,B145&lt;=Panel!$G$5),1,0))</f>
        <v/>
      </c>
      <c r="E145" s="22">
        <f>IF(B145="","",IF(D145=1,IF(COUNTIFS(Eventos!$D$8:$D$47,"&lt;="&amp;B145,Eventos!$M$8:$M$47,"&gt;="&amp;B145,Eventos!$I$8:$I$47,"Sí")&gt;0,1,0),0))</f>
        <v/>
      </c>
      <c r="F145" s="22">
        <f>IF(B145="","",D145-E145)</f>
        <v/>
      </c>
      <c r="G145" s="32">
        <f>IF(B145="","",DATE(YEAR(B145),MONTH(B145),1))</f>
        <v/>
      </c>
      <c r="H145" s="22">
        <f>IF(B145="","",COUNTIFS(Eventos!$D$8:$D$47,"&lt;="&amp;B145,Eventos!$M$8:$M$47,"&gt;="&amp;B145))</f>
        <v/>
      </c>
    </row>
    <row r="146">
      <c r="B146" s="19">
        <f>IF(Meses!$C$8+138&gt;=EDATE(Meses!$C$8,10),"",Meses!$C$8+138)</f>
        <v/>
      </c>
      <c r="C146" s="21">
        <f>IF(B146="","",MID("LunMarMiéJueVieSábDom",(WEEKDAY(B146,2)-1)*3+1,3))</f>
        <v/>
      </c>
      <c r="D146" s="22">
        <f>IF(B146="","",IF(AND(WEEKDAY(B146,2)&lt;=5,B146&gt;=Panel!$E$5,B146&lt;=Panel!$G$5),1,0))</f>
        <v/>
      </c>
      <c r="E146" s="22">
        <f>IF(B146="","",IF(D146=1,IF(COUNTIFS(Eventos!$D$8:$D$47,"&lt;="&amp;B146,Eventos!$M$8:$M$47,"&gt;="&amp;B146,Eventos!$I$8:$I$47,"Sí")&gt;0,1,0),0))</f>
        <v/>
      </c>
      <c r="F146" s="22">
        <f>IF(B146="","",D146-E146)</f>
        <v/>
      </c>
      <c r="G146" s="32">
        <f>IF(B146="","",DATE(YEAR(B146),MONTH(B146),1))</f>
        <v/>
      </c>
      <c r="H146" s="22">
        <f>IF(B146="","",COUNTIFS(Eventos!$D$8:$D$47,"&lt;="&amp;B146,Eventos!$M$8:$M$47,"&gt;="&amp;B146))</f>
        <v/>
      </c>
    </row>
    <row r="147">
      <c r="B147" s="19">
        <f>IF(Meses!$C$8+139&gt;=EDATE(Meses!$C$8,10),"",Meses!$C$8+139)</f>
        <v/>
      </c>
      <c r="C147" s="21">
        <f>IF(B147="","",MID("LunMarMiéJueVieSábDom",(WEEKDAY(B147,2)-1)*3+1,3))</f>
        <v/>
      </c>
      <c r="D147" s="22">
        <f>IF(B147="","",IF(AND(WEEKDAY(B147,2)&lt;=5,B147&gt;=Panel!$E$5,B147&lt;=Panel!$G$5),1,0))</f>
        <v/>
      </c>
      <c r="E147" s="22">
        <f>IF(B147="","",IF(D147=1,IF(COUNTIFS(Eventos!$D$8:$D$47,"&lt;="&amp;B147,Eventos!$M$8:$M$47,"&gt;="&amp;B147,Eventos!$I$8:$I$47,"Sí")&gt;0,1,0),0))</f>
        <v/>
      </c>
      <c r="F147" s="22">
        <f>IF(B147="","",D147-E147)</f>
        <v/>
      </c>
      <c r="G147" s="32">
        <f>IF(B147="","",DATE(YEAR(B147),MONTH(B147),1))</f>
        <v/>
      </c>
      <c r="H147" s="22">
        <f>IF(B147="","",COUNTIFS(Eventos!$D$8:$D$47,"&lt;="&amp;B147,Eventos!$M$8:$M$47,"&gt;="&amp;B147))</f>
        <v/>
      </c>
    </row>
    <row r="148">
      <c r="B148" s="19">
        <f>IF(Meses!$C$8+140&gt;=EDATE(Meses!$C$8,10),"",Meses!$C$8+140)</f>
        <v/>
      </c>
      <c r="C148" s="21">
        <f>IF(B148="","",MID("LunMarMiéJueVieSábDom",(WEEKDAY(B148,2)-1)*3+1,3))</f>
        <v/>
      </c>
      <c r="D148" s="22">
        <f>IF(B148="","",IF(AND(WEEKDAY(B148,2)&lt;=5,B148&gt;=Panel!$E$5,B148&lt;=Panel!$G$5),1,0))</f>
        <v/>
      </c>
      <c r="E148" s="22">
        <f>IF(B148="","",IF(D148=1,IF(COUNTIFS(Eventos!$D$8:$D$47,"&lt;="&amp;B148,Eventos!$M$8:$M$47,"&gt;="&amp;B148,Eventos!$I$8:$I$47,"Sí")&gt;0,1,0),0))</f>
        <v/>
      </c>
      <c r="F148" s="22">
        <f>IF(B148="","",D148-E148)</f>
        <v/>
      </c>
      <c r="G148" s="32">
        <f>IF(B148="","",DATE(YEAR(B148),MONTH(B148),1))</f>
        <v/>
      </c>
      <c r="H148" s="22">
        <f>IF(B148="","",COUNTIFS(Eventos!$D$8:$D$47,"&lt;="&amp;B148,Eventos!$M$8:$M$47,"&gt;="&amp;B148))</f>
        <v/>
      </c>
    </row>
    <row r="149">
      <c r="B149" s="19">
        <f>IF(Meses!$C$8+141&gt;=EDATE(Meses!$C$8,10),"",Meses!$C$8+141)</f>
        <v/>
      </c>
      <c r="C149" s="21">
        <f>IF(B149="","",MID("LunMarMiéJueVieSábDom",(WEEKDAY(B149,2)-1)*3+1,3))</f>
        <v/>
      </c>
      <c r="D149" s="22">
        <f>IF(B149="","",IF(AND(WEEKDAY(B149,2)&lt;=5,B149&gt;=Panel!$E$5,B149&lt;=Panel!$G$5),1,0))</f>
        <v/>
      </c>
      <c r="E149" s="22">
        <f>IF(B149="","",IF(D149=1,IF(COUNTIFS(Eventos!$D$8:$D$47,"&lt;="&amp;B149,Eventos!$M$8:$M$47,"&gt;="&amp;B149,Eventos!$I$8:$I$47,"Sí")&gt;0,1,0),0))</f>
        <v/>
      </c>
      <c r="F149" s="22">
        <f>IF(B149="","",D149-E149)</f>
        <v/>
      </c>
      <c r="G149" s="32">
        <f>IF(B149="","",DATE(YEAR(B149),MONTH(B149),1))</f>
        <v/>
      </c>
      <c r="H149" s="22">
        <f>IF(B149="","",COUNTIFS(Eventos!$D$8:$D$47,"&lt;="&amp;B149,Eventos!$M$8:$M$47,"&gt;="&amp;B149))</f>
        <v/>
      </c>
    </row>
    <row r="150">
      <c r="B150" s="19">
        <f>IF(Meses!$C$8+142&gt;=EDATE(Meses!$C$8,10),"",Meses!$C$8+142)</f>
        <v/>
      </c>
      <c r="C150" s="21">
        <f>IF(B150="","",MID("LunMarMiéJueVieSábDom",(WEEKDAY(B150,2)-1)*3+1,3))</f>
        <v/>
      </c>
      <c r="D150" s="22">
        <f>IF(B150="","",IF(AND(WEEKDAY(B150,2)&lt;=5,B150&gt;=Panel!$E$5,B150&lt;=Panel!$G$5),1,0))</f>
        <v/>
      </c>
      <c r="E150" s="22">
        <f>IF(B150="","",IF(D150=1,IF(COUNTIFS(Eventos!$D$8:$D$47,"&lt;="&amp;B150,Eventos!$M$8:$M$47,"&gt;="&amp;B150,Eventos!$I$8:$I$47,"Sí")&gt;0,1,0),0))</f>
        <v/>
      </c>
      <c r="F150" s="22">
        <f>IF(B150="","",D150-E150)</f>
        <v/>
      </c>
      <c r="G150" s="32">
        <f>IF(B150="","",DATE(YEAR(B150),MONTH(B150),1))</f>
        <v/>
      </c>
      <c r="H150" s="22">
        <f>IF(B150="","",COUNTIFS(Eventos!$D$8:$D$47,"&lt;="&amp;B150,Eventos!$M$8:$M$47,"&gt;="&amp;B150))</f>
        <v/>
      </c>
    </row>
    <row r="151">
      <c r="B151" s="19">
        <f>IF(Meses!$C$8+143&gt;=EDATE(Meses!$C$8,10),"",Meses!$C$8+143)</f>
        <v/>
      </c>
      <c r="C151" s="21">
        <f>IF(B151="","",MID("LunMarMiéJueVieSábDom",(WEEKDAY(B151,2)-1)*3+1,3))</f>
        <v/>
      </c>
      <c r="D151" s="22">
        <f>IF(B151="","",IF(AND(WEEKDAY(B151,2)&lt;=5,B151&gt;=Panel!$E$5,B151&lt;=Panel!$G$5),1,0))</f>
        <v/>
      </c>
      <c r="E151" s="22">
        <f>IF(B151="","",IF(D151=1,IF(COUNTIFS(Eventos!$D$8:$D$47,"&lt;="&amp;B151,Eventos!$M$8:$M$47,"&gt;="&amp;B151,Eventos!$I$8:$I$47,"Sí")&gt;0,1,0),0))</f>
        <v/>
      </c>
      <c r="F151" s="22">
        <f>IF(B151="","",D151-E151)</f>
        <v/>
      </c>
      <c r="G151" s="32">
        <f>IF(B151="","",DATE(YEAR(B151),MONTH(B151),1))</f>
        <v/>
      </c>
      <c r="H151" s="22">
        <f>IF(B151="","",COUNTIFS(Eventos!$D$8:$D$47,"&lt;="&amp;B151,Eventos!$M$8:$M$47,"&gt;="&amp;B151))</f>
        <v/>
      </c>
    </row>
    <row r="152">
      <c r="B152" s="19">
        <f>IF(Meses!$C$8+144&gt;=EDATE(Meses!$C$8,10),"",Meses!$C$8+144)</f>
        <v/>
      </c>
      <c r="C152" s="21">
        <f>IF(B152="","",MID("LunMarMiéJueVieSábDom",(WEEKDAY(B152,2)-1)*3+1,3))</f>
        <v/>
      </c>
      <c r="D152" s="22">
        <f>IF(B152="","",IF(AND(WEEKDAY(B152,2)&lt;=5,B152&gt;=Panel!$E$5,B152&lt;=Panel!$G$5),1,0))</f>
        <v/>
      </c>
      <c r="E152" s="22">
        <f>IF(B152="","",IF(D152=1,IF(COUNTIFS(Eventos!$D$8:$D$47,"&lt;="&amp;B152,Eventos!$M$8:$M$47,"&gt;="&amp;B152,Eventos!$I$8:$I$47,"Sí")&gt;0,1,0),0))</f>
        <v/>
      </c>
      <c r="F152" s="22">
        <f>IF(B152="","",D152-E152)</f>
        <v/>
      </c>
      <c r="G152" s="32">
        <f>IF(B152="","",DATE(YEAR(B152),MONTH(B152),1))</f>
        <v/>
      </c>
      <c r="H152" s="22">
        <f>IF(B152="","",COUNTIFS(Eventos!$D$8:$D$47,"&lt;="&amp;B152,Eventos!$M$8:$M$47,"&gt;="&amp;B152))</f>
        <v/>
      </c>
    </row>
    <row r="153">
      <c r="B153" s="19">
        <f>IF(Meses!$C$8+145&gt;=EDATE(Meses!$C$8,10),"",Meses!$C$8+145)</f>
        <v/>
      </c>
      <c r="C153" s="21">
        <f>IF(B153="","",MID("LunMarMiéJueVieSábDom",(WEEKDAY(B153,2)-1)*3+1,3))</f>
        <v/>
      </c>
      <c r="D153" s="22">
        <f>IF(B153="","",IF(AND(WEEKDAY(B153,2)&lt;=5,B153&gt;=Panel!$E$5,B153&lt;=Panel!$G$5),1,0))</f>
        <v/>
      </c>
      <c r="E153" s="22">
        <f>IF(B153="","",IF(D153=1,IF(COUNTIFS(Eventos!$D$8:$D$47,"&lt;="&amp;B153,Eventos!$M$8:$M$47,"&gt;="&amp;B153,Eventos!$I$8:$I$47,"Sí")&gt;0,1,0),0))</f>
        <v/>
      </c>
      <c r="F153" s="22">
        <f>IF(B153="","",D153-E153)</f>
        <v/>
      </c>
      <c r="G153" s="32">
        <f>IF(B153="","",DATE(YEAR(B153),MONTH(B153),1))</f>
        <v/>
      </c>
      <c r="H153" s="22">
        <f>IF(B153="","",COUNTIFS(Eventos!$D$8:$D$47,"&lt;="&amp;B153,Eventos!$M$8:$M$47,"&gt;="&amp;B153))</f>
        <v/>
      </c>
    </row>
    <row r="154">
      <c r="B154" s="19">
        <f>IF(Meses!$C$8+146&gt;=EDATE(Meses!$C$8,10),"",Meses!$C$8+146)</f>
        <v/>
      </c>
      <c r="C154" s="21">
        <f>IF(B154="","",MID("LunMarMiéJueVieSábDom",(WEEKDAY(B154,2)-1)*3+1,3))</f>
        <v/>
      </c>
      <c r="D154" s="22">
        <f>IF(B154="","",IF(AND(WEEKDAY(B154,2)&lt;=5,B154&gt;=Panel!$E$5,B154&lt;=Panel!$G$5),1,0))</f>
        <v/>
      </c>
      <c r="E154" s="22">
        <f>IF(B154="","",IF(D154=1,IF(COUNTIFS(Eventos!$D$8:$D$47,"&lt;="&amp;B154,Eventos!$M$8:$M$47,"&gt;="&amp;B154,Eventos!$I$8:$I$47,"Sí")&gt;0,1,0),0))</f>
        <v/>
      </c>
      <c r="F154" s="22">
        <f>IF(B154="","",D154-E154)</f>
        <v/>
      </c>
      <c r="G154" s="32">
        <f>IF(B154="","",DATE(YEAR(B154),MONTH(B154),1))</f>
        <v/>
      </c>
      <c r="H154" s="22">
        <f>IF(B154="","",COUNTIFS(Eventos!$D$8:$D$47,"&lt;="&amp;B154,Eventos!$M$8:$M$47,"&gt;="&amp;B154))</f>
        <v/>
      </c>
    </row>
    <row r="155">
      <c r="B155" s="19">
        <f>IF(Meses!$C$8+147&gt;=EDATE(Meses!$C$8,10),"",Meses!$C$8+147)</f>
        <v/>
      </c>
      <c r="C155" s="21">
        <f>IF(B155="","",MID("LunMarMiéJueVieSábDom",(WEEKDAY(B155,2)-1)*3+1,3))</f>
        <v/>
      </c>
      <c r="D155" s="22">
        <f>IF(B155="","",IF(AND(WEEKDAY(B155,2)&lt;=5,B155&gt;=Panel!$E$5,B155&lt;=Panel!$G$5),1,0))</f>
        <v/>
      </c>
      <c r="E155" s="22">
        <f>IF(B155="","",IF(D155=1,IF(COUNTIFS(Eventos!$D$8:$D$47,"&lt;="&amp;B155,Eventos!$M$8:$M$47,"&gt;="&amp;B155,Eventos!$I$8:$I$47,"Sí")&gt;0,1,0),0))</f>
        <v/>
      </c>
      <c r="F155" s="22">
        <f>IF(B155="","",D155-E155)</f>
        <v/>
      </c>
      <c r="G155" s="32">
        <f>IF(B155="","",DATE(YEAR(B155),MONTH(B155),1))</f>
        <v/>
      </c>
      <c r="H155" s="22">
        <f>IF(B155="","",COUNTIFS(Eventos!$D$8:$D$47,"&lt;="&amp;B155,Eventos!$M$8:$M$47,"&gt;="&amp;B155))</f>
        <v/>
      </c>
    </row>
    <row r="156">
      <c r="B156" s="19">
        <f>IF(Meses!$C$8+148&gt;=EDATE(Meses!$C$8,10),"",Meses!$C$8+148)</f>
        <v/>
      </c>
      <c r="C156" s="21">
        <f>IF(B156="","",MID("LunMarMiéJueVieSábDom",(WEEKDAY(B156,2)-1)*3+1,3))</f>
        <v/>
      </c>
      <c r="D156" s="22">
        <f>IF(B156="","",IF(AND(WEEKDAY(B156,2)&lt;=5,B156&gt;=Panel!$E$5,B156&lt;=Panel!$G$5),1,0))</f>
        <v/>
      </c>
      <c r="E156" s="22">
        <f>IF(B156="","",IF(D156=1,IF(COUNTIFS(Eventos!$D$8:$D$47,"&lt;="&amp;B156,Eventos!$M$8:$M$47,"&gt;="&amp;B156,Eventos!$I$8:$I$47,"Sí")&gt;0,1,0),0))</f>
        <v/>
      </c>
      <c r="F156" s="22">
        <f>IF(B156="","",D156-E156)</f>
        <v/>
      </c>
      <c r="G156" s="32">
        <f>IF(B156="","",DATE(YEAR(B156),MONTH(B156),1))</f>
        <v/>
      </c>
      <c r="H156" s="22">
        <f>IF(B156="","",COUNTIFS(Eventos!$D$8:$D$47,"&lt;="&amp;B156,Eventos!$M$8:$M$47,"&gt;="&amp;B156))</f>
        <v/>
      </c>
    </row>
    <row r="157">
      <c r="B157" s="19">
        <f>IF(Meses!$C$8+149&gt;=EDATE(Meses!$C$8,10),"",Meses!$C$8+149)</f>
        <v/>
      </c>
      <c r="C157" s="21">
        <f>IF(B157="","",MID("LunMarMiéJueVieSábDom",(WEEKDAY(B157,2)-1)*3+1,3))</f>
        <v/>
      </c>
      <c r="D157" s="22">
        <f>IF(B157="","",IF(AND(WEEKDAY(B157,2)&lt;=5,B157&gt;=Panel!$E$5,B157&lt;=Panel!$G$5),1,0))</f>
        <v/>
      </c>
      <c r="E157" s="22">
        <f>IF(B157="","",IF(D157=1,IF(COUNTIFS(Eventos!$D$8:$D$47,"&lt;="&amp;B157,Eventos!$M$8:$M$47,"&gt;="&amp;B157,Eventos!$I$8:$I$47,"Sí")&gt;0,1,0),0))</f>
        <v/>
      </c>
      <c r="F157" s="22">
        <f>IF(B157="","",D157-E157)</f>
        <v/>
      </c>
      <c r="G157" s="32">
        <f>IF(B157="","",DATE(YEAR(B157),MONTH(B157),1))</f>
        <v/>
      </c>
      <c r="H157" s="22">
        <f>IF(B157="","",COUNTIFS(Eventos!$D$8:$D$47,"&lt;="&amp;B157,Eventos!$M$8:$M$47,"&gt;="&amp;B157))</f>
        <v/>
      </c>
    </row>
    <row r="158">
      <c r="B158" s="19">
        <f>IF(Meses!$C$8+150&gt;=EDATE(Meses!$C$8,10),"",Meses!$C$8+150)</f>
        <v/>
      </c>
      <c r="C158" s="21">
        <f>IF(B158="","",MID("LunMarMiéJueVieSábDom",(WEEKDAY(B158,2)-1)*3+1,3))</f>
        <v/>
      </c>
      <c r="D158" s="22">
        <f>IF(B158="","",IF(AND(WEEKDAY(B158,2)&lt;=5,B158&gt;=Panel!$E$5,B158&lt;=Panel!$G$5),1,0))</f>
        <v/>
      </c>
      <c r="E158" s="22">
        <f>IF(B158="","",IF(D158=1,IF(COUNTIFS(Eventos!$D$8:$D$47,"&lt;="&amp;B158,Eventos!$M$8:$M$47,"&gt;="&amp;B158,Eventos!$I$8:$I$47,"Sí")&gt;0,1,0),0))</f>
        <v/>
      </c>
      <c r="F158" s="22">
        <f>IF(B158="","",D158-E158)</f>
        <v/>
      </c>
      <c r="G158" s="32">
        <f>IF(B158="","",DATE(YEAR(B158),MONTH(B158),1))</f>
        <v/>
      </c>
      <c r="H158" s="22">
        <f>IF(B158="","",COUNTIFS(Eventos!$D$8:$D$47,"&lt;="&amp;B158,Eventos!$M$8:$M$47,"&gt;="&amp;B158))</f>
        <v/>
      </c>
    </row>
    <row r="159">
      <c r="B159" s="19">
        <f>IF(Meses!$C$8+151&gt;=EDATE(Meses!$C$8,10),"",Meses!$C$8+151)</f>
        <v/>
      </c>
      <c r="C159" s="21">
        <f>IF(B159="","",MID("LunMarMiéJueVieSábDom",(WEEKDAY(B159,2)-1)*3+1,3))</f>
        <v/>
      </c>
      <c r="D159" s="22">
        <f>IF(B159="","",IF(AND(WEEKDAY(B159,2)&lt;=5,B159&gt;=Panel!$E$5,B159&lt;=Panel!$G$5),1,0))</f>
        <v/>
      </c>
      <c r="E159" s="22">
        <f>IF(B159="","",IF(D159=1,IF(COUNTIFS(Eventos!$D$8:$D$47,"&lt;="&amp;B159,Eventos!$M$8:$M$47,"&gt;="&amp;B159,Eventos!$I$8:$I$47,"Sí")&gt;0,1,0),0))</f>
        <v/>
      </c>
      <c r="F159" s="22">
        <f>IF(B159="","",D159-E159)</f>
        <v/>
      </c>
      <c r="G159" s="32">
        <f>IF(B159="","",DATE(YEAR(B159),MONTH(B159),1))</f>
        <v/>
      </c>
      <c r="H159" s="22">
        <f>IF(B159="","",COUNTIFS(Eventos!$D$8:$D$47,"&lt;="&amp;B159,Eventos!$M$8:$M$47,"&gt;="&amp;B159))</f>
        <v/>
      </c>
    </row>
    <row r="160">
      <c r="B160" s="19">
        <f>IF(Meses!$C$8+152&gt;=EDATE(Meses!$C$8,10),"",Meses!$C$8+152)</f>
        <v/>
      </c>
      <c r="C160" s="21">
        <f>IF(B160="","",MID("LunMarMiéJueVieSábDom",(WEEKDAY(B160,2)-1)*3+1,3))</f>
        <v/>
      </c>
      <c r="D160" s="22">
        <f>IF(B160="","",IF(AND(WEEKDAY(B160,2)&lt;=5,B160&gt;=Panel!$E$5,B160&lt;=Panel!$G$5),1,0))</f>
        <v/>
      </c>
      <c r="E160" s="22">
        <f>IF(B160="","",IF(D160=1,IF(COUNTIFS(Eventos!$D$8:$D$47,"&lt;="&amp;B160,Eventos!$M$8:$M$47,"&gt;="&amp;B160,Eventos!$I$8:$I$47,"Sí")&gt;0,1,0),0))</f>
        <v/>
      </c>
      <c r="F160" s="22">
        <f>IF(B160="","",D160-E160)</f>
        <v/>
      </c>
      <c r="G160" s="32">
        <f>IF(B160="","",DATE(YEAR(B160),MONTH(B160),1))</f>
        <v/>
      </c>
      <c r="H160" s="22">
        <f>IF(B160="","",COUNTIFS(Eventos!$D$8:$D$47,"&lt;="&amp;B160,Eventos!$M$8:$M$47,"&gt;="&amp;B160))</f>
        <v/>
      </c>
    </row>
    <row r="161">
      <c r="B161" s="19">
        <f>IF(Meses!$C$8+153&gt;=EDATE(Meses!$C$8,10),"",Meses!$C$8+153)</f>
        <v/>
      </c>
      <c r="C161" s="21">
        <f>IF(B161="","",MID("LunMarMiéJueVieSábDom",(WEEKDAY(B161,2)-1)*3+1,3))</f>
        <v/>
      </c>
      <c r="D161" s="22">
        <f>IF(B161="","",IF(AND(WEEKDAY(B161,2)&lt;=5,B161&gt;=Panel!$E$5,B161&lt;=Panel!$G$5),1,0))</f>
        <v/>
      </c>
      <c r="E161" s="22">
        <f>IF(B161="","",IF(D161=1,IF(COUNTIFS(Eventos!$D$8:$D$47,"&lt;="&amp;B161,Eventos!$M$8:$M$47,"&gt;="&amp;B161,Eventos!$I$8:$I$47,"Sí")&gt;0,1,0),0))</f>
        <v/>
      </c>
      <c r="F161" s="22">
        <f>IF(B161="","",D161-E161)</f>
        <v/>
      </c>
      <c r="G161" s="32">
        <f>IF(B161="","",DATE(YEAR(B161),MONTH(B161),1))</f>
        <v/>
      </c>
      <c r="H161" s="22">
        <f>IF(B161="","",COUNTIFS(Eventos!$D$8:$D$47,"&lt;="&amp;B161,Eventos!$M$8:$M$47,"&gt;="&amp;B161))</f>
        <v/>
      </c>
    </row>
    <row r="162">
      <c r="B162" s="19">
        <f>IF(Meses!$C$8+154&gt;=EDATE(Meses!$C$8,10),"",Meses!$C$8+154)</f>
        <v/>
      </c>
      <c r="C162" s="21">
        <f>IF(B162="","",MID("LunMarMiéJueVieSábDom",(WEEKDAY(B162,2)-1)*3+1,3))</f>
        <v/>
      </c>
      <c r="D162" s="22">
        <f>IF(B162="","",IF(AND(WEEKDAY(B162,2)&lt;=5,B162&gt;=Panel!$E$5,B162&lt;=Panel!$G$5),1,0))</f>
        <v/>
      </c>
      <c r="E162" s="22">
        <f>IF(B162="","",IF(D162=1,IF(COUNTIFS(Eventos!$D$8:$D$47,"&lt;="&amp;B162,Eventos!$M$8:$M$47,"&gt;="&amp;B162,Eventos!$I$8:$I$47,"Sí")&gt;0,1,0),0))</f>
        <v/>
      </c>
      <c r="F162" s="22">
        <f>IF(B162="","",D162-E162)</f>
        <v/>
      </c>
      <c r="G162" s="32">
        <f>IF(B162="","",DATE(YEAR(B162),MONTH(B162),1))</f>
        <v/>
      </c>
      <c r="H162" s="22">
        <f>IF(B162="","",COUNTIFS(Eventos!$D$8:$D$47,"&lt;="&amp;B162,Eventos!$M$8:$M$47,"&gt;="&amp;B162))</f>
        <v/>
      </c>
    </row>
    <row r="163">
      <c r="B163" s="19">
        <f>IF(Meses!$C$8+155&gt;=EDATE(Meses!$C$8,10),"",Meses!$C$8+155)</f>
        <v/>
      </c>
      <c r="C163" s="21">
        <f>IF(B163="","",MID("LunMarMiéJueVieSábDom",(WEEKDAY(B163,2)-1)*3+1,3))</f>
        <v/>
      </c>
      <c r="D163" s="22">
        <f>IF(B163="","",IF(AND(WEEKDAY(B163,2)&lt;=5,B163&gt;=Panel!$E$5,B163&lt;=Panel!$G$5),1,0))</f>
        <v/>
      </c>
      <c r="E163" s="22">
        <f>IF(B163="","",IF(D163=1,IF(COUNTIFS(Eventos!$D$8:$D$47,"&lt;="&amp;B163,Eventos!$M$8:$M$47,"&gt;="&amp;B163,Eventos!$I$8:$I$47,"Sí")&gt;0,1,0),0))</f>
        <v/>
      </c>
      <c r="F163" s="22">
        <f>IF(B163="","",D163-E163)</f>
        <v/>
      </c>
      <c r="G163" s="32">
        <f>IF(B163="","",DATE(YEAR(B163),MONTH(B163),1))</f>
        <v/>
      </c>
      <c r="H163" s="22">
        <f>IF(B163="","",COUNTIFS(Eventos!$D$8:$D$47,"&lt;="&amp;B163,Eventos!$M$8:$M$47,"&gt;="&amp;B163))</f>
        <v/>
      </c>
    </row>
    <row r="164">
      <c r="B164" s="19">
        <f>IF(Meses!$C$8+156&gt;=EDATE(Meses!$C$8,10),"",Meses!$C$8+156)</f>
        <v/>
      </c>
      <c r="C164" s="21">
        <f>IF(B164="","",MID("LunMarMiéJueVieSábDom",(WEEKDAY(B164,2)-1)*3+1,3))</f>
        <v/>
      </c>
      <c r="D164" s="22">
        <f>IF(B164="","",IF(AND(WEEKDAY(B164,2)&lt;=5,B164&gt;=Panel!$E$5,B164&lt;=Panel!$G$5),1,0))</f>
        <v/>
      </c>
      <c r="E164" s="22">
        <f>IF(B164="","",IF(D164=1,IF(COUNTIFS(Eventos!$D$8:$D$47,"&lt;="&amp;B164,Eventos!$M$8:$M$47,"&gt;="&amp;B164,Eventos!$I$8:$I$47,"Sí")&gt;0,1,0),0))</f>
        <v/>
      </c>
      <c r="F164" s="22">
        <f>IF(B164="","",D164-E164)</f>
        <v/>
      </c>
      <c r="G164" s="32">
        <f>IF(B164="","",DATE(YEAR(B164),MONTH(B164),1))</f>
        <v/>
      </c>
      <c r="H164" s="22">
        <f>IF(B164="","",COUNTIFS(Eventos!$D$8:$D$47,"&lt;="&amp;B164,Eventos!$M$8:$M$47,"&gt;="&amp;B164))</f>
        <v/>
      </c>
    </row>
    <row r="165">
      <c r="B165" s="19">
        <f>IF(Meses!$C$8+157&gt;=EDATE(Meses!$C$8,10),"",Meses!$C$8+157)</f>
        <v/>
      </c>
      <c r="C165" s="21">
        <f>IF(B165="","",MID("LunMarMiéJueVieSábDom",(WEEKDAY(B165,2)-1)*3+1,3))</f>
        <v/>
      </c>
      <c r="D165" s="22">
        <f>IF(B165="","",IF(AND(WEEKDAY(B165,2)&lt;=5,B165&gt;=Panel!$E$5,B165&lt;=Panel!$G$5),1,0))</f>
        <v/>
      </c>
      <c r="E165" s="22">
        <f>IF(B165="","",IF(D165=1,IF(COUNTIFS(Eventos!$D$8:$D$47,"&lt;="&amp;B165,Eventos!$M$8:$M$47,"&gt;="&amp;B165,Eventos!$I$8:$I$47,"Sí")&gt;0,1,0),0))</f>
        <v/>
      </c>
      <c r="F165" s="22">
        <f>IF(B165="","",D165-E165)</f>
        <v/>
      </c>
      <c r="G165" s="32">
        <f>IF(B165="","",DATE(YEAR(B165),MONTH(B165),1))</f>
        <v/>
      </c>
      <c r="H165" s="22">
        <f>IF(B165="","",COUNTIFS(Eventos!$D$8:$D$47,"&lt;="&amp;B165,Eventos!$M$8:$M$47,"&gt;="&amp;B165))</f>
        <v/>
      </c>
    </row>
    <row r="166">
      <c r="B166" s="19">
        <f>IF(Meses!$C$8+158&gt;=EDATE(Meses!$C$8,10),"",Meses!$C$8+158)</f>
        <v/>
      </c>
      <c r="C166" s="21">
        <f>IF(B166="","",MID("LunMarMiéJueVieSábDom",(WEEKDAY(B166,2)-1)*3+1,3))</f>
        <v/>
      </c>
      <c r="D166" s="22">
        <f>IF(B166="","",IF(AND(WEEKDAY(B166,2)&lt;=5,B166&gt;=Panel!$E$5,B166&lt;=Panel!$G$5),1,0))</f>
        <v/>
      </c>
      <c r="E166" s="22">
        <f>IF(B166="","",IF(D166=1,IF(COUNTIFS(Eventos!$D$8:$D$47,"&lt;="&amp;B166,Eventos!$M$8:$M$47,"&gt;="&amp;B166,Eventos!$I$8:$I$47,"Sí")&gt;0,1,0),0))</f>
        <v/>
      </c>
      <c r="F166" s="22">
        <f>IF(B166="","",D166-E166)</f>
        <v/>
      </c>
      <c r="G166" s="32">
        <f>IF(B166="","",DATE(YEAR(B166),MONTH(B166),1))</f>
        <v/>
      </c>
      <c r="H166" s="22">
        <f>IF(B166="","",COUNTIFS(Eventos!$D$8:$D$47,"&lt;="&amp;B166,Eventos!$M$8:$M$47,"&gt;="&amp;B166))</f>
        <v/>
      </c>
    </row>
    <row r="167">
      <c r="B167" s="19">
        <f>IF(Meses!$C$8+159&gt;=EDATE(Meses!$C$8,10),"",Meses!$C$8+159)</f>
        <v/>
      </c>
      <c r="C167" s="21">
        <f>IF(B167="","",MID("LunMarMiéJueVieSábDom",(WEEKDAY(B167,2)-1)*3+1,3))</f>
        <v/>
      </c>
      <c r="D167" s="22">
        <f>IF(B167="","",IF(AND(WEEKDAY(B167,2)&lt;=5,B167&gt;=Panel!$E$5,B167&lt;=Panel!$G$5),1,0))</f>
        <v/>
      </c>
      <c r="E167" s="22">
        <f>IF(B167="","",IF(D167=1,IF(COUNTIFS(Eventos!$D$8:$D$47,"&lt;="&amp;B167,Eventos!$M$8:$M$47,"&gt;="&amp;B167,Eventos!$I$8:$I$47,"Sí")&gt;0,1,0),0))</f>
        <v/>
      </c>
      <c r="F167" s="22">
        <f>IF(B167="","",D167-E167)</f>
        <v/>
      </c>
      <c r="G167" s="32">
        <f>IF(B167="","",DATE(YEAR(B167),MONTH(B167),1))</f>
        <v/>
      </c>
      <c r="H167" s="22">
        <f>IF(B167="","",COUNTIFS(Eventos!$D$8:$D$47,"&lt;="&amp;B167,Eventos!$M$8:$M$47,"&gt;="&amp;B167))</f>
        <v/>
      </c>
    </row>
    <row r="168">
      <c r="B168" s="19">
        <f>IF(Meses!$C$8+160&gt;=EDATE(Meses!$C$8,10),"",Meses!$C$8+160)</f>
        <v/>
      </c>
      <c r="C168" s="21">
        <f>IF(B168="","",MID("LunMarMiéJueVieSábDom",(WEEKDAY(B168,2)-1)*3+1,3))</f>
        <v/>
      </c>
      <c r="D168" s="22">
        <f>IF(B168="","",IF(AND(WEEKDAY(B168,2)&lt;=5,B168&gt;=Panel!$E$5,B168&lt;=Panel!$G$5),1,0))</f>
        <v/>
      </c>
      <c r="E168" s="22">
        <f>IF(B168="","",IF(D168=1,IF(COUNTIFS(Eventos!$D$8:$D$47,"&lt;="&amp;B168,Eventos!$M$8:$M$47,"&gt;="&amp;B168,Eventos!$I$8:$I$47,"Sí")&gt;0,1,0),0))</f>
        <v/>
      </c>
      <c r="F168" s="22">
        <f>IF(B168="","",D168-E168)</f>
        <v/>
      </c>
      <c r="G168" s="32">
        <f>IF(B168="","",DATE(YEAR(B168),MONTH(B168),1))</f>
        <v/>
      </c>
      <c r="H168" s="22">
        <f>IF(B168="","",COUNTIFS(Eventos!$D$8:$D$47,"&lt;="&amp;B168,Eventos!$M$8:$M$47,"&gt;="&amp;B168))</f>
        <v/>
      </c>
    </row>
    <row r="169">
      <c r="B169" s="19">
        <f>IF(Meses!$C$8+161&gt;=EDATE(Meses!$C$8,10),"",Meses!$C$8+161)</f>
        <v/>
      </c>
      <c r="C169" s="21">
        <f>IF(B169="","",MID("LunMarMiéJueVieSábDom",(WEEKDAY(B169,2)-1)*3+1,3))</f>
        <v/>
      </c>
      <c r="D169" s="22">
        <f>IF(B169="","",IF(AND(WEEKDAY(B169,2)&lt;=5,B169&gt;=Panel!$E$5,B169&lt;=Panel!$G$5),1,0))</f>
        <v/>
      </c>
      <c r="E169" s="22">
        <f>IF(B169="","",IF(D169=1,IF(COUNTIFS(Eventos!$D$8:$D$47,"&lt;="&amp;B169,Eventos!$M$8:$M$47,"&gt;="&amp;B169,Eventos!$I$8:$I$47,"Sí")&gt;0,1,0),0))</f>
        <v/>
      </c>
      <c r="F169" s="22">
        <f>IF(B169="","",D169-E169)</f>
        <v/>
      </c>
      <c r="G169" s="32">
        <f>IF(B169="","",DATE(YEAR(B169),MONTH(B169),1))</f>
        <v/>
      </c>
      <c r="H169" s="22">
        <f>IF(B169="","",COUNTIFS(Eventos!$D$8:$D$47,"&lt;="&amp;B169,Eventos!$M$8:$M$47,"&gt;="&amp;B169))</f>
        <v/>
      </c>
    </row>
    <row r="170">
      <c r="B170" s="19">
        <f>IF(Meses!$C$8+162&gt;=EDATE(Meses!$C$8,10),"",Meses!$C$8+162)</f>
        <v/>
      </c>
      <c r="C170" s="21">
        <f>IF(B170="","",MID("LunMarMiéJueVieSábDom",(WEEKDAY(B170,2)-1)*3+1,3))</f>
        <v/>
      </c>
      <c r="D170" s="22">
        <f>IF(B170="","",IF(AND(WEEKDAY(B170,2)&lt;=5,B170&gt;=Panel!$E$5,B170&lt;=Panel!$G$5),1,0))</f>
        <v/>
      </c>
      <c r="E170" s="22">
        <f>IF(B170="","",IF(D170=1,IF(COUNTIFS(Eventos!$D$8:$D$47,"&lt;="&amp;B170,Eventos!$M$8:$M$47,"&gt;="&amp;B170,Eventos!$I$8:$I$47,"Sí")&gt;0,1,0),0))</f>
        <v/>
      </c>
      <c r="F170" s="22">
        <f>IF(B170="","",D170-E170)</f>
        <v/>
      </c>
      <c r="G170" s="32">
        <f>IF(B170="","",DATE(YEAR(B170),MONTH(B170),1))</f>
        <v/>
      </c>
      <c r="H170" s="22">
        <f>IF(B170="","",COUNTIFS(Eventos!$D$8:$D$47,"&lt;="&amp;B170,Eventos!$M$8:$M$47,"&gt;="&amp;B170))</f>
        <v/>
      </c>
    </row>
    <row r="171">
      <c r="B171" s="19">
        <f>IF(Meses!$C$8+163&gt;=EDATE(Meses!$C$8,10),"",Meses!$C$8+163)</f>
        <v/>
      </c>
      <c r="C171" s="21">
        <f>IF(B171="","",MID("LunMarMiéJueVieSábDom",(WEEKDAY(B171,2)-1)*3+1,3))</f>
        <v/>
      </c>
      <c r="D171" s="22">
        <f>IF(B171="","",IF(AND(WEEKDAY(B171,2)&lt;=5,B171&gt;=Panel!$E$5,B171&lt;=Panel!$G$5),1,0))</f>
        <v/>
      </c>
      <c r="E171" s="22">
        <f>IF(B171="","",IF(D171=1,IF(COUNTIFS(Eventos!$D$8:$D$47,"&lt;="&amp;B171,Eventos!$M$8:$M$47,"&gt;="&amp;B171,Eventos!$I$8:$I$47,"Sí")&gt;0,1,0),0))</f>
        <v/>
      </c>
      <c r="F171" s="22">
        <f>IF(B171="","",D171-E171)</f>
        <v/>
      </c>
      <c r="G171" s="32">
        <f>IF(B171="","",DATE(YEAR(B171),MONTH(B171),1))</f>
        <v/>
      </c>
      <c r="H171" s="22">
        <f>IF(B171="","",COUNTIFS(Eventos!$D$8:$D$47,"&lt;="&amp;B171,Eventos!$M$8:$M$47,"&gt;="&amp;B171))</f>
        <v/>
      </c>
    </row>
    <row r="172">
      <c r="B172" s="19">
        <f>IF(Meses!$C$8+164&gt;=EDATE(Meses!$C$8,10),"",Meses!$C$8+164)</f>
        <v/>
      </c>
      <c r="C172" s="21">
        <f>IF(B172="","",MID("LunMarMiéJueVieSábDom",(WEEKDAY(B172,2)-1)*3+1,3))</f>
        <v/>
      </c>
      <c r="D172" s="22">
        <f>IF(B172="","",IF(AND(WEEKDAY(B172,2)&lt;=5,B172&gt;=Panel!$E$5,B172&lt;=Panel!$G$5),1,0))</f>
        <v/>
      </c>
      <c r="E172" s="22">
        <f>IF(B172="","",IF(D172=1,IF(COUNTIFS(Eventos!$D$8:$D$47,"&lt;="&amp;B172,Eventos!$M$8:$M$47,"&gt;="&amp;B172,Eventos!$I$8:$I$47,"Sí")&gt;0,1,0),0))</f>
        <v/>
      </c>
      <c r="F172" s="22">
        <f>IF(B172="","",D172-E172)</f>
        <v/>
      </c>
      <c r="G172" s="32">
        <f>IF(B172="","",DATE(YEAR(B172),MONTH(B172),1))</f>
        <v/>
      </c>
      <c r="H172" s="22">
        <f>IF(B172="","",COUNTIFS(Eventos!$D$8:$D$47,"&lt;="&amp;B172,Eventos!$M$8:$M$47,"&gt;="&amp;B172))</f>
        <v/>
      </c>
    </row>
    <row r="173">
      <c r="B173" s="19">
        <f>IF(Meses!$C$8+165&gt;=EDATE(Meses!$C$8,10),"",Meses!$C$8+165)</f>
        <v/>
      </c>
      <c r="C173" s="21">
        <f>IF(B173="","",MID("LunMarMiéJueVieSábDom",(WEEKDAY(B173,2)-1)*3+1,3))</f>
        <v/>
      </c>
      <c r="D173" s="22">
        <f>IF(B173="","",IF(AND(WEEKDAY(B173,2)&lt;=5,B173&gt;=Panel!$E$5,B173&lt;=Panel!$G$5),1,0))</f>
        <v/>
      </c>
      <c r="E173" s="22">
        <f>IF(B173="","",IF(D173=1,IF(COUNTIFS(Eventos!$D$8:$D$47,"&lt;="&amp;B173,Eventos!$M$8:$M$47,"&gt;="&amp;B173,Eventos!$I$8:$I$47,"Sí")&gt;0,1,0),0))</f>
        <v/>
      </c>
      <c r="F173" s="22">
        <f>IF(B173="","",D173-E173)</f>
        <v/>
      </c>
      <c r="G173" s="32">
        <f>IF(B173="","",DATE(YEAR(B173),MONTH(B173),1))</f>
        <v/>
      </c>
      <c r="H173" s="22">
        <f>IF(B173="","",COUNTIFS(Eventos!$D$8:$D$47,"&lt;="&amp;B173,Eventos!$M$8:$M$47,"&gt;="&amp;B173))</f>
        <v/>
      </c>
    </row>
    <row r="174">
      <c r="B174" s="19">
        <f>IF(Meses!$C$8+166&gt;=EDATE(Meses!$C$8,10),"",Meses!$C$8+166)</f>
        <v/>
      </c>
      <c r="C174" s="21">
        <f>IF(B174="","",MID("LunMarMiéJueVieSábDom",(WEEKDAY(B174,2)-1)*3+1,3))</f>
        <v/>
      </c>
      <c r="D174" s="22">
        <f>IF(B174="","",IF(AND(WEEKDAY(B174,2)&lt;=5,B174&gt;=Panel!$E$5,B174&lt;=Panel!$G$5),1,0))</f>
        <v/>
      </c>
      <c r="E174" s="22">
        <f>IF(B174="","",IF(D174=1,IF(COUNTIFS(Eventos!$D$8:$D$47,"&lt;="&amp;B174,Eventos!$M$8:$M$47,"&gt;="&amp;B174,Eventos!$I$8:$I$47,"Sí")&gt;0,1,0),0))</f>
        <v/>
      </c>
      <c r="F174" s="22">
        <f>IF(B174="","",D174-E174)</f>
        <v/>
      </c>
      <c r="G174" s="32">
        <f>IF(B174="","",DATE(YEAR(B174),MONTH(B174),1))</f>
        <v/>
      </c>
      <c r="H174" s="22">
        <f>IF(B174="","",COUNTIFS(Eventos!$D$8:$D$47,"&lt;="&amp;B174,Eventos!$M$8:$M$47,"&gt;="&amp;B174))</f>
        <v/>
      </c>
    </row>
    <row r="175">
      <c r="B175" s="19">
        <f>IF(Meses!$C$8+167&gt;=EDATE(Meses!$C$8,10),"",Meses!$C$8+167)</f>
        <v/>
      </c>
      <c r="C175" s="21">
        <f>IF(B175="","",MID("LunMarMiéJueVieSábDom",(WEEKDAY(B175,2)-1)*3+1,3))</f>
        <v/>
      </c>
      <c r="D175" s="22">
        <f>IF(B175="","",IF(AND(WEEKDAY(B175,2)&lt;=5,B175&gt;=Panel!$E$5,B175&lt;=Panel!$G$5),1,0))</f>
        <v/>
      </c>
      <c r="E175" s="22">
        <f>IF(B175="","",IF(D175=1,IF(COUNTIFS(Eventos!$D$8:$D$47,"&lt;="&amp;B175,Eventos!$M$8:$M$47,"&gt;="&amp;B175,Eventos!$I$8:$I$47,"Sí")&gt;0,1,0),0))</f>
        <v/>
      </c>
      <c r="F175" s="22">
        <f>IF(B175="","",D175-E175)</f>
        <v/>
      </c>
      <c r="G175" s="32">
        <f>IF(B175="","",DATE(YEAR(B175),MONTH(B175),1))</f>
        <v/>
      </c>
      <c r="H175" s="22">
        <f>IF(B175="","",COUNTIFS(Eventos!$D$8:$D$47,"&lt;="&amp;B175,Eventos!$M$8:$M$47,"&gt;="&amp;B175))</f>
        <v/>
      </c>
    </row>
    <row r="176">
      <c r="B176" s="19">
        <f>IF(Meses!$C$8+168&gt;=EDATE(Meses!$C$8,10),"",Meses!$C$8+168)</f>
        <v/>
      </c>
      <c r="C176" s="21">
        <f>IF(B176="","",MID("LunMarMiéJueVieSábDom",(WEEKDAY(B176,2)-1)*3+1,3))</f>
        <v/>
      </c>
      <c r="D176" s="22">
        <f>IF(B176="","",IF(AND(WEEKDAY(B176,2)&lt;=5,B176&gt;=Panel!$E$5,B176&lt;=Panel!$G$5),1,0))</f>
        <v/>
      </c>
      <c r="E176" s="22">
        <f>IF(B176="","",IF(D176=1,IF(COUNTIFS(Eventos!$D$8:$D$47,"&lt;="&amp;B176,Eventos!$M$8:$M$47,"&gt;="&amp;B176,Eventos!$I$8:$I$47,"Sí")&gt;0,1,0),0))</f>
        <v/>
      </c>
      <c r="F176" s="22">
        <f>IF(B176="","",D176-E176)</f>
        <v/>
      </c>
      <c r="G176" s="32">
        <f>IF(B176="","",DATE(YEAR(B176),MONTH(B176),1))</f>
        <v/>
      </c>
      <c r="H176" s="22">
        <f>IF(B176="","",COUNTIFS(Eventos!$D$8:$D$47,"&lt;="&amp;B176,Eventos!$M$8:$M$47,"&gt;="&amp;B176))</f>
        <v/>
      </c>
    </row>
    <row r="177">
      <c r="B177" s="19">
        <f>IF(Meses!$C$8+169&gt;=EDATE(Meses!$C$8,10),"",Meses!$C$8+169)</f>
        <v/>
      </c>
      <c r="C177" s="21">
        <f>IF(B177="","",MID("LunMarMiéJueVieSábDom",(WEEKDAY(B177,2)-1)*3+1,3))</f>
        <v/>
      </c>
      <c r="D177" s="22">
        <f>IF(B177="","",IF(AND(WEEKDAY(B177,2)&lt;=5,B177&gt;=Panel!$E$5,B177&lt;=Panel!$G$5),1,0))</f>
        <v/>
      </c>
      <c r="E177" s="22">
        <f>IF(B177="","",IF(D177=1,IF(COUNTIFS(Eventos!$D$8:$D$47,"&lt;="&amp;B177,Eventos!$M$8:$M$47,"&gt;="&amp;B177,Eventos!$I$8:$I$47,"Sí")&gt;0,1,0),0))</f>
        <v/>
      </c>
      <c r="F177" s="22">
        <f>IF(B177="","",D177-E177)</f>
        <v/>
      </c>
      <c r="G177" s="32">
        <f>IF(B177="","",DATE(YEAR(B177),MONTH(B177),1))</f>
        <v/>
      </c>
      <c r="H177" s="22">
        <f>IF(B177="","",COUNTIFS(Eventos!$D$8:$D$47,"&lt;="&amp;B177,Eventos!$M$8:$M$47,"&gt;="&amp;B177))</f>
        <v/>
      </c>
    </row>
    <row r="178">
      <c r="B178" s="19">
        <f>IF(Meses!$C$8+170&gt;=EDATE(Meses!$C$8,10),"",Meses!$C$8+170)</f>
        <v/>
      </c>
      <c r="C178" s="21">
        <f>IF(B178="","",MID("LunMarMiéJueVieSábDom",(WEEKDAY(B178,2)-1)*3+1,3))</f>
        <v/>
      </c>
      <c r="D178" s="22">
        <f>IF(B178="","",IF(AND(WEEKDAY(B178,2)&lt;=5,B178&gt;=Panel!$E$5,B178&lt;=Panel!$G$5),1,0))</f>
        <v/>
      </c>
      <c r="E178" s="22">
        <f>IF(B178="","",IF(D178=1,IF(COUNTIFS(Eventos!$D$8:$D$47,"&lt;="&amp;B178,Eventos!$M$8:$M$47,"&gt;="&amp;B178,Eventos!$I$8:$I$47,"Sí")&gt;0,1,0),0))</f>
        <v/>
      </c>
      <c r="F178" s="22">
        <f>IF(B178="","",D178-E178)</f>
        <v/>
      </c>
      <c r="G178" s="32">
        <f>IF(B178="","",DATE(YEAR(B178),MONTH(B178),1))</f>
        <v/>
      </c>
      <c r="H178" s="22">
        <f>IF(B178="","",COUNTIFS(Eventos!$D$8:$D$47,"&lt;="&amp;B178,Eventos!$M$8:$M$47,"&gt;="&amp;B178))</f>
        <v/>
      </c>
    </row>
    <row r="179">
      <c r="B179" s="19">
        <f>IF(Meses!$C$8+171&gt;=EDATE(Meses!$C$8,10),"",Meses!$C$8+171)</f>
        <v/>
      </c>
      <c r="C179" s="21">
        <f>IF(B179="","",MID("LunMarMiéJueVieSábDom",(WEEKDAY(B179,2)-1)*3+1,3))</f>
        <v/>
      </c>
      <c r="D179" s="22">
        <f>IF(B179="","",IF(AND(WEEKDAY(B179,2)&lt;=5,B179&gt;=Panel!$E$5,B179&lt;=Panel!$G$5),1,0))</f>
        <v/>
      </c>
      <c r="E179" s="22">
        <f>IF(B179="","",IF(D179=1,IF(COUNTIFS(Eventos!$D$8:$D$47,"&lt;="&amp;B179,Eventos!$M$8:$M$47,"&gt;="&amp;B179,Eventos!$I$8:$I$47,"Sí")&gt;0,1,0),0))</f>
        <v/>
      </c>
      <c r="F179" s="22">
        <f>IF(B179="","",D179-E179)</f>
        <v/>
      </c>
      <c r="G179" s="32">
        <f>IF(B179="","",DATE(YEAR(B179),MONTH(B179),1))</f>
        <v/>
      </c>
      <c r="H179" s="22">
        <f>IF(B179="","",COUNTIFS(Eventos!$D$8:$D$47,"&lt;="&amp;B179,Eventos!$M$8:$M$47,"&gt;="&amp;B179))</f>
        <v/>
      </c>
    </row>
    <row r="180">
      <c r="B180" s="19">
        <f>IF(Meses!$C$8+172&gt;=EDATE(Meses!$C$8,10),"",Meses!$C$8+172)</f>
        <v/>
      </c>
      <c r="C180" s="21">
        <f>IF(B180="","",MID("LunMarMiéJueVieSábDom",(WEEKDAY(B180,2)-1)*3+1,3))</f>
        <v/>
      </c>
      <c r="D180" s="22">
        <f>IF(B180="","",IF(AND(WEEKDAY(B180,2)&lt;=5,B180&gt;=Panel!$E$5,B180&lt;=Panel!$G$5),1,0))</f>
        <v/>
      </c>
      <c r="E180" s="22">
        <f>IF(B180="","",IF(D180=1,IF(COUNTIFS(Eventos!$D$8:$D$47,"&lt;="&amp;B180,Eventos!$M$8:$M$47,"&gt;="&amp;B180,Eventos!$I$8:$I$47,"Sí")&gt;0,1,0),0))</f>
        <v/>
      </c>
      <c r="F180" s="22">
        <f>IF(B180="","",D180-E180)</f>
        <v/>
      </c>
      <c r="G180" s="32">
        <f>IF(B180="","",DATE(YEAR(B180),MONTH(B180),1))</f>
        <v/>
      </c>
      <c r="H180" s="22">
        <f>IF(B180="","",COUNTIFS(Eventos!$D$8:$D$47,"&lt;="&amp;B180,Eventos!$M$8:$M$47,"&gt;="&amp;B180))</f>
        <v/>
      </c>
    </row>
    <row r="181">
      <c r="B181" s="19">
        <f>IF(Meses!$C$8+173&gt;=EDATE(Meses!$C$8,10),"",Meses!$C$8+173)</f>
        <v/>
      </c>
      <c r="C181" s="21">
        <f>IF(B181="","",MID("LunMarMiéJueVieSábDom",(WEEKDAY(B181,2)-1)*3+1,3))</f>
        <v/>
      </c>
      <c r="D181" s="22">
        <f>IF(B181="","",IF(AND(WEEKDAY(B181,2)&lt;=5,B181&gt;=Panel!$E$5,B181&lt;=Panel!$G$5),1,0))</f>
        <v/>
      </c>
      <c r="E181" s="22">
        <f>IF(B181="","",IF(D181=1,IF(COUNTIFS(Eventos!$D$8:$D$47,"&lt;="&amp;B181,Eventos!$M$8:$M$47,"&gt;="&amp;B181,Eventos!$I$8:$I$47,"Sí")&gt;0,1,0),0))</f>
        <v/>
      </c>
      <c r="F181" s="22">
        <f>IF(B181="","",D181-E181)</f>
        <v/>
      </c>
      <c r="G181" s="32">
        <f>IF(B181="","",DATE(YEAR(B181),MONTH(B181),1))</f>
        <v/>
      </c>
      <c r="H181" s="22">
        <f>IF(B181="","",COUNTIFS(Eventos!$D$8:$D$47,"&lt;="&amp;B181,Eventos!$M$8:$M$47,"&gt;="&amp;B181))</f>
        <v/>
      </c>
    </row>
    <row r="182">
      <c r="B182" s="19">
        <f>IF(Meses!$C$8+174&gt;=EDATE(Meses!$C$8,10),"",Meses!$C$8+174)</f>
        <v/>
      </c>
      <c r="C182" s="21">
        <f>IF(B182="","",MID("LunMarMiéJueVieSábDom",(WEEKDAY(B182,2)-1)*3+1,3))</f>
        <v/>
      </c>
      <c r="D182" s="22">
        <f>IF(B182="","",IF(AND(WEEKDAY(B182,2)&lt;=5,B182&gt;=Panel!$E$5,B182&lt;=Panel!$G$5),1,0))</f>
        <v/>
      </c>
      <c r="E182" s="22">
        <f>IF(B182="","",IF(D182=1,IF(COUNTIFS(Eventos!$D$8:$D$47,"&lt;="&amp;B182,Eventos!$M$8:$M$47,"&gt;="&amp;B182,Eventos!$I$8:$I$47,"Sí")&gt;0,1,0),0))</f>
        <v/>
      </c>
      <c r="F182" s="22">
        <f>IF(B182="","",D182-E182)</f>
        <v/>
      </c>
      <c r="G182" s="32">
        <f>IF(B182="","",DATE(YEAR(B182),MONTH(B182),1))</f>
        <v/>
      </c>
      <c r="H182" s="22">
        <f>IF(B182="","",COUNTIFS(Eventos!$D$8:$D$47,"&lt;="&amp;B182,Eventos!$M$8:$M$47,"&gt;="&amp;B182))</f>
        <v/>
      </c>
    </row>
    <row r="183">
      <c r="B183" s="19">
        <f>IF(Meses!$C$8+175&gt;=EDATE(Meses!$C$8,10),"",Meses!$C$8+175)</f>
        <v/>
      </c>
      <c r="C183" s="21">
        <f>IF(B183="","",MID("LunMarMiéJueVieSábDom",(WEEKDAY(B183,2)-1)*3+1,3))</f>
        <v/>
      </c>
      <c r="D183" s="22">
        <f>IF(B183="","",IF(AND(WEEKDAY(B183,2)&lt;=5,B183&gt;=Panel!$E$5,B183&lt;=Panel!$G$5),1,0))</f>
        <v/>
      </c>
      <c r="E183" s="22">
        <f>IF(B183="","",IF(D183=1,IF(COUNTIFS(Eventos!$D$8:$D$47,"&lt;="&amp;B183,Eventos!$M$8:$M$47,"&gt;="&amp;B183,Eventos!$I$8:$I$47,"Sí")&gt;0,1,0),0))</f>
        <v/>
      </c>
      <c r="F183" s="22">
        <f>IF(B183="","",D183-E183)</f>
        <v/>
      </c>
      <c r="G183" s="32">
        <f>IF(B183="","",DATE(YEAR(B183),MONTH(B183),1))</f>
        <v/>
      </c>
      <c r="H183" s="22">
        <f>IF(B183="","",COUNTIFS(Eventos!$D$8:$D$47,"&lt;="&amp;B183,Eventos!$M$8:$M$47,"&gt;="&amp;B183))</f>
        <v/>
      </c>
    </row>
    <row r="184">
      <c r="B184" s="19">
        <f>IF(Meses!$C$8+176&gt;=EDATE(Meses!$C$8,10),"",Meses!$C$8+176)</f>
        <v/>
      </c>
      <c r="C184" s="21">
        <f>IF(B184="","",MID("LunMarMiéJueVieSábDom",(WEEKDAY(B184,2)-1)*3+1,3))</f>
        <v/>
      </c>
      <c r="D184" s="22">
        <f>IF(B184="","",IF(AND(WEEKDAY(B184,2)&lt;=5,B184&gt;=Panel!$E$5,B184&lt;=Panel!$G$5),1,0))</f>
        <v/>
      </c>
      <c r="E184" s="22">
        <f>IF(B184="","",IF(D184=1,IF(COUNTIFS(Eventos!$D$8:$D$47,"&lt;="&amp;B184,Eventos!$M$8:$M$47,"&gt;="&amp;B184,Eventos!$I$8:$I$47,"Sí")&gt;0,1,0),0))</f>
        <v/>
      </c>
      <c r="F184" s="22">
        <f>IF(B184="","",D184-E184)</f>
        <v/>
      </c>
      <c r="G184" s="32">
        <f>IF(B184="","",DATE(YEAR(B184),MONTH(B184),1))</f>
        <v/>
      </c>
      <c r="H184" s="22">
        <f>IF(B184="","",COUNTIFS(Eventos!$D$8:$D$47,"&lt;="&amp;B184,Eventos!$M$8:$M$47,"&gt;="&amp;B184))</f>
        <v/>
      </c>
    </row>
    <row r="185">
      <c r="B185" s="19">
        <f>IF(Meses!$C$8+177&gt;=EDATE(Meses!$C$8,10),"",Meses!$C$8+177)</f>
        <v/>
      </c>
      <c r="C185" s="21">
        <f>IF(B185="","",MID("LunMarMiéJueVieSábDom",(WEEKDAY(B185,2)-1)*3+1,3))</f>
        <v/>
      </c>
      <c r="D185" s="22">
        <f>IF(B185="","",IF(AND(WEEKDAY(B185,2)&lt;=5,B185&gt;=Panel!$E$5,B185&lt;=Panel!$G$5),1,0))</f>
        <v/>
      </c>
      <c r="E185" s="22">
        <f>IF(B185="","",IF(D185=1,IF(COUNTIFS(Eventos!$D$8:$D$47,"&lt;="&amp;B185,Eventos!$M$8:$M$47,"&gt;="&amp;B185,Eventos!$I$8:$I$47,"Sí")&gt;0,1,0),0))</f>
        <v/>
      </c>
      <c r="F185" s="22">
        <f>IF(B185="","",D185-E185)</f>
        <v/>
      </c>
      <c r="G185" s="32">
        <f>IF(B185="","",DATE(YEAR(B185),MONTH(B185),1))</f>
        <v/>
      </c>
      <c r="H185" s="22">
        <f>IF(B185="","",COUNTIFS(Eventos!$D$8:$D$47,"&lt;="&amp;B185,Eventos!$M$8:$M$47,"&gt;="&amp;B185))</f>
        <v/>
      </c>
    </row>
    <row r="186">
      <c r="B186" s="19">
        <f>IF(Meses!$C$8+178&gt;=EDATE(Meses!$C$8,10),"",Meses!$C$8+178)</f>
        <v/>
      </c>
      <c r="C186" s="21">
        <f>IF(B186="","",MID("LunMarMiéJueVieSábDom",(WEEKDAY(B186,2)-1)*3+1,3))</f>
        <v/>
      </c>
      <c r="D186" s="22">
        <f>IF(B186="","",IF(AND(WEEKDAY(B186,2)&lt;=5,B186&gt;=Panel!$E$5,B186&lt;=Panel!$G$5),1,0))</f>
        <v/>
      </c>
      <c r="E186" s="22">
        <f>IF(B186="","",IF(D186=1,IF(COUNTIFS(Eventos!$D$8:$D$47,"&lt;="&amp;B186,Eventos!$M$8:$M$47,"&gt;="&amp;B186,Eventos!$I$8:$I$47,"Sí")&gt;0,1,0),0))</f>
        <v/>
      </c>
      <c r="F186" s="22">
        <f>IF(B186="","",D186-E186)</f>
        <v/>
      </c>
      <c r="G186" s="32">
        <f>IF(B186="","",DATE(YEAR(B186),MONTH(B186),1))</f>
        <v/>
      </c>
      <c r="H186" s="22">
        <f>IF(B186="","",COUNTIFS(Eventos!$D$8:$D$47,"&lt;="&amp;B186,Eventos!$M$8:$M$47,"&gt;="&amp;B186))</f>
        <v/>
      </c>
    </row>
    <row r="187">
      <c r="B187" s="19">
        <f>IF(Meses!$C$8+179&gt;=EDATE(Meses!$C$8,10),"",Meses!$C$8+179)</f>
        <v/>
      </c>
      <c r="C187" s="21">
        <f>IF(B187="","",MID("LunMarMiéJueVieSábDom",(WEEKDAY(B187,2)-1)*3+1,3))</f>
        <v/>
      </c>
      <c r="D187" s="22">
        <f>IF(B187="","",IF(AND(WEEKDAY(B187,2)&lt;=5,B187&gt;=Panel!$E$5,B187&lt;=Panel!$G$5),1,0))</f>
        <v/>
      </c>
      <c r="E187" s="22">
        <f>IF(B187="","",IF(D187=1,IF(COUNTIFS(Eventos!$D$8:$D$47,"&lt;="&amp;B187,Eventos!$M$8:$M$47,"&gt;="&amp;B187,Eventos!$I$8:$I$47,"Sí")&gt;0,1,0),0))</f>
        <v/>
      </c>
      <c r="F187" s="22">
        <f>IF(B187="","",D187-E187)</f>
        <v/>
      </c>
      <c r="G187" s="32">
        <f>IF(B187="","",DATE(YEAR(B187),MONTH(B187),1))</f>
        <v/>
      </c>
      <c r="H187" s="22">
        <f>IF(B187="","",COUNTIFS(Eventos!$D$8:$D$47,"&lt;="&amp;B187,Eventos!$M$8:$M$47,"&gt;="&amp;B187))</f>
        <v/>
      </c>
    </row>
    <row r="188">
      <c r="B188" s="19">
        <f>IF(Meses!$C$8+180&gt;=EDATE(Meses!$C$8,10),"",Meses!$C$8+180)</f>
        <v/>
      </c>
      <c r="C188" s="21">
        <f>IF(B188="","",MID("LunMarMiéJueVieSábDom",(WEEKDAY(B188,2)-1)*3+1,3))</f>
        <v/>
      </c>
      <c r="D188" s="22">
        <f>IF(B188="","",IF(AND(WEEKDAY(B188,2)&lt;=5,B188&gt;=Panel!$E$5,B188&lt;=Panel!$G$5),1,0))</f>
        <v/>
      </c>
      <c r="E188" s="22">
        <f>IF(B188="","",IF(D188=1,IF(COUNTIFS(Eventos!$D$8:$D$47,"&lt;="&amp;B188,Eventos!$M$8:$M$47,"&gt;="&amp;B188,Eventos!$I$8:$I$47,"Sí")&gt;0,1,0),0))</f>
        <v/>
      </c>
      <c r="F188" s="22">
        <f>IF(B188="","",D188-E188)</f>
        <v/>
      </c>
      <c r="G188" s="32">
        <f>IF(B188="","",DATE(YEAR(B188),MONTH(B188),1))</f>
        <v/>
      </c>
      <c r="H188" s="22">
        <f>IF(B188="","",COUNTIFS(Eventos!$D$8:$D$47,"&lt;="&amp;B188,Eventos!$M$8:$M$47,"&gt;="&amp;B188))</f>
        <v/>
      </c>
    </row>
    <row r="189">
      <c r="B189" s="19">
        <f>IF(Meses!$C$8+181&gt;=EDATE(Meses!$C$8,10),"",Meses!$C$8+181)</f>
        <v/>
      </c>
      <c r="C189" s="21">
        <f>IF(B189="","",MID("LunMarMiéJueVieSábDom",(WEEKDAY(B189,2)-1)*3+1,3))</f>
        <v/>
      </c>
      <c r="D189" s="22">
        <f>IF(B189="","",IF(AND(WEEKDAY(B189,2)&lt;=5,B189&gt;=Panel!$E$5,B189&lt;=Panel!$G$5),1,0))</f>
        <v/>
      </c>
      <c r="E189" s="22">
        <f>IF(B189="","",IF(D189=1,IF(COUNTIFS(Eventos!$D$8:$D$47,"&lt;="&amp;B189,Eventos!$M$8:$M$47,"&gt;="&amp;B189,Eventos!$I$8:$I$47,"Sí")&gt;0,1,0),0))</f>
        <v/>
      </c>
      <c r="F189" s="22">
        <f>IF(B189="","",D189-E189)</f>
        <v/>
      </c>
      <c r="G189" s="32">
        <f>IF(B189="","",DATE(YEAR(B189),MONTH(B189),1))</f>
        <v/>
      </c>
      <c r="H189" s="22">
        <f>IF(B189="","",COUNTIFS(Eventos!$D$8:$D$47,"&lt;="&amp;B189,Eventos!$M$8:$M$47,"&gt;="&amp;B189))</f>
        <v/>
      </c>
    </row>
    <row r="190">
      <c r="B190" s="19">
        <f>IF(Meses!$C$8+182&gt;=EDATE(Meses!$C$8,10),"",Meses!$C$8+182)</f>
        <v/>
      </c>
      <c r="C190" s="21">
        <f>IF(B190="","",MID("LunMarMiéJueVieSábDom",(WEEKDAY(B190,2)-1)*3+1,3))</f>
        <v/>
      </c>
      <c r="D190" s="22">
        <f>IF(B190="","",IF(AND(WEEKDAY(B190,2)&lt;=5,B190&gt;=Panel!$E$5,B190&lt;=Panel!$G$5),1,0))</f>
        <v/>
      </c>
      <c r="E190" s="22">
        <f>IF(B190="","",IF(D190=1,IF(COUNTIFS(Eventos!$D$8:$D$47,"&lt;="&amp;B190,Eventos!$M$8:$M$47,"&gt;="&amp;B190,Eventos!$I$8:$I$47,"Sí")&gt;0,1,0),0))</f>
        <v/>
      </c>
      <c r="F190" s="22">
        <f>IF(B190="","",D190-E190)</f>
        <v/>
      </c>
      <c r="G190" s="32">
        <f>IF(B190="","",DATE(YEAR(B190),MONTH(B190),1))</f>
        <v/>
      </c>
      <c r="H190" s="22">
        <f>IF(B190="","",COUNTIFS(Eventos!$D$8:$D$47,"&lt;="&amp;B190,Eventos!$M$8:$M$47,"&gt;="&amp;B190))</f>
        <v/>
      </c>
    </row>
    <row r="191">
      <c r="B191" s="19">
        <f>IF(Meses!$C$8+183&gt;=EDATE(Meses!$C$8,10),"",Meses!$C$8+183)</f>
        <v/>
      </c>
      <c r="C191" s="21">
        <f>IF(B191="","",MID("LunMarMiéJueVieSábDom",(WEEKDAY(B191,2)-1)*3+1,3))</f>
        <v/>
      </c>
      <c r="D191" s="22">
        <f>IF(B191="","",IF(AND(WEEKDAY(B191,2)&lt;=5,B191&gt;=Panel!$E$5,B191&lt;=Panel!$G$5),1,0))</f>
        <v/>
      </c>
      <c r="E191" s="22">
        <f>IF(B191="","",IF(D191=1,IF(COUNTIFS(Eventos!$D$8:$D$47,"&lt;="&amp;B191,Eventos!$M$8:$M$47,"&gt;="&amp;B191,Eventos!$I$8:$I$47,"Sí")&gt;0,1,0),0))</f>
        <v/>
      </c>
      <c r="F191" s="22">
        <f>IF(B191="","",D191-E191)</f>
        <v/>
      </c>
      <c r="G191" s="32">
        <f>IF(B191="","",DATE(YEAR(B191),MONTH(B191),1))</f>
        <v/>
      </c>
      <c r="H191" s="22">
        <f>IF(B191="","",COUNTIFS(Eventos!$D$8:$D$47,"&lt;="&amp;B191,Eventos!$M$8:$M$47,"&gt;="&amp;B191))</f>
        <v/>
      </c>
    </row>
    <row r="192">
      <c r="B192" s="19">
        <f>IF(Meses!$C$8+184&gt;=EDATE(Meses!$C$8,10),"",Meses!$C$8+184)</f>
        <v/>
      </c>
      <c r="C192" s="21">
        <f>IF(B192="","",MID("LunMarMiéJueVieSábDom",(WEEKDAY(B192,2)-1)*3+1,3))</f>
        <v/>
      </c>
      <c r="D192" s="22">
        <f>IF(B192="","",IF(AND(WEEKDAY(B192,2)&lt;=5,B192&gt;=Panel!$E$5,B192&lt;=Panel!$G$5),1,0))</f>
        <v/>
      </c>
      <c r="E192" s="22">
        <f>IF(B192="","",IF(D192=1,IF(COUNTIFS(Eventos!$D$8:$D$47,"&lt;="&amp;B192,Eventos!$M$8:$M$47,"&gt;="&amp;B192,Eventos!$I$8:$I$47,"Sí")&gt;0,1,0),0))</f>
        <v/>
      </c>
      <c r="F192" s="22">
        <f>IF(B192="","",D192-E192)</f>
        <v/>
      </c>
      <c r="G192" s="32">
        <f>IF(B192="","",DATE(YEAR(B192),MONTH(B192),1))</f>
        <v/>
      </c>
      <c r="H192" s="22">
        <f>IF(B192="","",COUNTIFS(Eventos!$D$8:$D$47,"&lt;="&amp;B192,Eventos!$M$8:$M$47,"&gt;="&amp;B192))</f>
        <v/>
      </c>
    </row>
    <row r="193">
      <c r="B193" s="19">
        <f>IF(Meses!$C$8+185&gt;=EDATE(Meses!$C$8,10),"",Meses!$C$8+185)</f>
        <v/>
      </c>
      <c r="C193" s="21">
        <f>IF(B193="","",MID("LunMarMiéJueVieSábDom",(WEEKDAY(B193,2)-1)*3+1,3))</f>
        <v/>
      </c>
      <c r="D193" s="22">
        <f>IF(B193="","",IF(AND(WEEKDAY(B193,2)&lt;=5,B193&gt;=Panel!$E$5,B193&lt;=Panel!$G$5),1,0))</f>
        <v/>
      </c>
      <c r="E193" s="22">
        <f>IF(B193="","",IF(D193=1,IF(COUNTIFS(Eventos!$D$8:$D$47,"&lt;="&amp;B193,Eventos!$M$8:$M$47,"&gt;="&amp;B193,Eventos!$I$8:$I$47,"Sí")&gt;0,1,0),0))</f>
        <v/>
      </c>
      <c r="F193" s="22">
        <f>IF(B193="","",D193-E193)</f>
        <v/>
      </c>
      <c r="G193" s="32">
        <f>IF(B193="","",DATE(YEAR(B193),MONTH(B193),1))</f>
        <v/>
      </c>
      <c r="H193" s="22">
        <f>IF(B193="","",COUNTIFS(Eventos!$D$8:$D$47,"&lt;="&amp;B193,Eventos!$M$8:$M$47,"&gt;="&amp;B193))</f>
        <v/>
      </c>
    </row>
    <row r="194">
      <c r="B194" s="19">
        <f>IF(Meses!$C$8+186&gt;=EDATE(Meses!$C$8,10),"",Meses!$C$8+186)</f>
        <v/>
      </c>
      <c r="C194" s="21">
        <f>IF(B194="","",MID("LunMarMiéJueVieSábDom",(WEEKDAY(B194,2)-1)*3+1,3))</f>
        <v/>
      </c>
      <c r="D194" s="22">
        <f>IF(B194="","",IF(AND(WEEKDAY(B194,2)&lt;=5,B194&gt;=Panel!$E$5,B194&lt;=Panel!$G$5),1,0))</f>
        <v/>
      </c>
      <c r="E194" s="22">
        <f>IF(B194="","",IF(D194=1,IF(COUNTIFS(Eventos!$D$8:$D$47,"&lt;="&amp;B194,Eventos!$M$8:$M$47,"&gt;="&amp;B194,Eventos!$I$8:$I$47,"Sí")&gt;0,1,0),0))</f>
        <v/>
      </c>
      <c r="F194" s="22">
        <f>IF(B194="","",D194-E194)</f>
        <v/>
      </c>
      <c r="G194" s="32">
        <f>IF(B194="","",DATE(YEAR(B194),MONTH(B194),1))</f>
        <v/>
      </c>
      <c r="H194" s="22">
        <f>IF(B194="","",COUNTIFS(Eventos!$D$8:$D$47,"&lt;="&amp;B194,Eventos!$M$8:$M$47,"&gt;="&amp;B194))</f>
        <v/>
      </c>
    </row>
    <row r="195">
      <c r="B195" s="19">
        <f>IF(Meses!$C$8+187&gt;=EDATE(Meses!$C$8,10),"",Meses!$C$8+187)</f>
        <v/>
      </c>
      <c r="C195" s="21">
        <f>IF(B195="","",MID("LunMarMiéJueVieSábDom",(WEEKDAY(B195,2)-1)*3+1,3))</f>
        <v/>
      </c>
      <c r="D195" s="22">
        <f>IF(B195="","",IF(AND(WEEKDAY(B195,2)&lt;=5,B195&gt;=Panel!$E$5,B195&lt;=Panel!$G$5),1,0))</f>
        <v/>
      </c>
      <c r="E195" s="22">
        <f>IF(B195="","",IF(D195=1,IF(COUNTIFS(Eventos!$D$8:$D$47,"&lt;="&amp;B195,Eventos!$M$8:$M$47,"&gt;="&amp;B195,Eventos!$I$8:$I$47,"Sí")&gt;0,1,0),0))</f>
        <v/>
      </c>
      <c r="F195" s="22">
        <f>IF(B195="","",D195-E195)</f>
        <v/>
      </c>
      <c r="G195" s="32">
        <f>IF(B195="","",DATE(YEAR(B195),MONTH(B195),1))</f>
        <v/>
      </c>
      <c r="H195" s="22">
        <f>IF(B195="","",COUNTIFS(Eventos!$D$8:$D$47,"&lt;="&amp;B195,Eventos!$M$8:$M$47,"&gt;="&amp;B195))</f>
        <v/>
      </c>
    </row>
    <row r="196">
      <c r="B196" s="19">
        <f>IF(Meses!$C$8+188&gt;=EDATE(Meses!$C$8,10),"",Meses!$C$8+188)</f>
        <v/>
      </c>
      <c r="C196" s="21">
        <f>IF(B196="","",MID("LunMarMiéJueVieSábDom",(WEEKDAY(B196,2)-1)*3+1,3))</f>
        <v/>
      </c>
      <c r="D196" s="22">
        <f>IF(B196="","",IF(AND(WEEKDAY(B196,2)&lt;=5,B196&gt;=Panel!$E$5,B196&lt;=Panel!$G$5),1,0))</f>
        <v/>
      </c>
      <c r="E196" s="22">
        <f>IF(B196="","",IF(D196=1,IF(COUNTIFS(Eventos!$D$8:$D$47,"&lt;="&amp;B196,Eventos!$M$8:$M$47,"&gt;="&amp;B196,Eventos!$I$8:$I$47,"Sí")&gt;0,1,0),0))</f>
        <v/>
      </c>
      <c r="F196" s="22">
        <f>IF(B196="","",D196-E196)</f>
        <v/>
      </c>
      <c r="G196" s="32">
        <f>IF(B196="","",DATE(YEAR(B196),MONTH(B196),1))</f>
        <v/>
      </c>
      <c r="H196" s="22">
        <f>IF(B196="","",COUNTIFS(Eventos!$D$8:$D$47,"&lt;="&amp;B196,Eventos!$M$8:$M$47,"&gt;="&amp;B196))</f>
        <v/>
      </c>
    </row>
    <row r="197">
      <c r="B197" s="19">
        <f>IF(Meses!$C$8+189&gt;=EDATE(Meses!$C$8,10),"",Meses!$C$8+189)</f>
        <v/>
      </c>
      <c r="C197" s="21">
        <f>IF(B197="","",MID("LunMarMiéJueVieSábDom",(WEEKDAY(B197,2)-1)*3+1,3))</f>
        <v/>
      </c>
      <c r="D197" s="22">
        <f>IF(B197="","",IF(AND(WEEKDAY(B197,2)&lt;=5,B197&gt;=Panel!$E$5,B197&lt;=Panel!$G$5),1,0))</f>
        <v/>
      </c>
      <c r="E197" s="22">
        <f>IF(B197="","",IF(D197=1,IF(COUNTIFS(Eventos!$D$8:$D$47,"&lt;="&amp;B197,Eventos!$M$8:$M$47,"&gt;="&amp;B197,Eventos!$I$8:$I$47,"Sí")&gt;0,1,0),0))</f>
        <v/>
      </c>
      <c r="F197" s="22">
        <f>IF(B197="","",D197-E197)</f>
        <v/>
      </c>
      <c r="G197" s="32">
        <f>IF(B197="","",DATE(YEAR(B197),MONTH(B197),1))</f>
        <v/>
      </c>
      <c r="H197" s="22">
        <f>IF(B197="","",COUNTIFS(Eventos!$D$8:$D$47,"&lt;="&amp;B197,Eventos!$M$8:$M$47,"&gt;="&amp;B197))</f>
        <v/>
      </c>
    </row>
    <row r="198">
      <c r="B198" s="19">
        <f>IF(Meses!$C$8+190&gt;=EDATE(Meses!$C$8,10),"",Meses!$C$8+190)</f>
        <v/>
      </c>
      <c r="C198" s="21">
        <f>IF(B198="","",MID("LunMarMiéJueVieSábDom",(WEEKDAY(B198,2)-1)*3+1,3))</f>
        <v/>
      </c>
      <c r="D198" s="22">
        <f>IF(B198="","",IF(AND(WEEKDAY(B198,2)&lt;=5,B198&gt;=Panel!$E$5,B198&lt;=Panel!$G$5),1,0))</f>
        <v/>
      </c>
      <c r="E198" s="22">
        <f>IF(B198="","",IF(D198=1,IF(COUNTIFS(Eventos!$D$8:$D$47,"&lt;="&amp;B198,Eventos!$M$8:$M$47,"&gt;="&amp;B198,Eventos!$I$8:$I$47,"Sí")&gt;0,1,0),0))</f>
        <v/>
      </c>
      <c r="F198" s="22">
        <f>IF(B198="","",D198-E198)</f>
        <v/>
      </c>
      <c r="G198" s="32">
        <f>IF(B198="","",DATE(YEAR(B198),MONTH(B198),1))</f>
        <v/>
      </c>
      <c r="H198" s="22">
        <f>IF(B198="","",COUNTIFS(Eventos!$D$8:$D$47,"&lt;="&amp;B198,Eventos!$M$8:$M$47,"&gt;="&amp;B198))</f>
        <v/>
      </c>
    </row>
    <row r="199">
      <c r="B199" s="19">
        <f>IF(Meses!$C$8+191&gt;=EDATE(Meses!$C$8,10),"",Meses!$C$8+191)</f>
        <v/>
      </c>
      <c r="C199" s="21">
        <f>IF(B199="","",MID("LunMarMiéJueVieSábDom",(WEEKDAY(B199,2)-1)*3+1,3))</f>
        <v/>
      </c>
      <c r="D199" s="22">
        <f>IF(B199="","",IF(AND(WEEKDAY(B199,2)&lt;=5,B199&gt;=Panel!$E$5,B199&lt;=Panel!$G$5),1,0))</f>
        <v/>
      </c>
      <c r="E199" s="22">
        <f>IF(B199="","",IF(D199=1,IF(COUNTIFS(Eventos!$D$8:$D$47,"&lt;="&amp;B199,Eventos!$M$8:$M$47,"&gt;="&amp;B199,Eventos!$I$8:$I$47,"Sí")&gt;0,1,0),0))</f>
        <v/>
      </c>
      <c r="F199" s="22">
        <f>IF(B199="","",D199-E199)</f>
        <v/>
      </c>
      <c r="G199" s="32">
        <f>IF(B199="","",DATE(YEAR(B199),MONTH(B199),1))</f>
        <v/>
      </c>
      <c r="H199" s="22">
        <f>IF(B199="","",COUNTIFS(Eventos!$D$8:$D$47,"&lt;="&amp;B199,Eventos!$M$8:$M$47,"&gt;="&amp;B199))</f>
        <v/>
      </c>
    </row>
    <row r="200">
      <c r="B200" s="19">
        <f>IF(Meses!$C$8+192&gt;=EDATE(Meses!$C$8,10),"",Meses!$C$8+192)</f>
        <v/>
      </c>
      <c r="C200" s="21">
        <f>IF(B200="","",MID("LunMarMiéJueVieSábDom",(WEEKDAY(B200,2)-1)*3+1,3))</f>
        <v/>
      </c>
      <c r="D200" s="22">
        <f>IF(B200="","",IF(AND(WEEKDAY(B200,2)&lt;=5,B200&gt;=Panel!$E$5,B200&lt;=Panel!$G$5),1,0))</f>
        <v/>
      </c>
      <c r="E200" s="22">
        <f>IF(B200="","",IF(D200=1,IF(COUNTIFS(Eventos!$D$8:$D$47,"&lt;="&amp;B200,Eventos!$M$8:$M$47,"&gt;="&amp;B200,Eventos!$I$8:$I$47,"Sí")&gt;0,1,0),0))</f>
        <v/>
      </c>
      <c r="F200" s="22">
        <f>IF(B200="","",D200-E200)</f>
        <v/>
      </c>
      <c r="G200" s="32">
        <f>IF(B200="","",DATE(YEAR(B200),MONTH(B200),1))</f>
        <v/>
      </c>
      <c r="H200" s="22">
        <f>IF(B200="","",COUNTIFS(Eventos!$D$8:$D$47,"&lt;="&amp;B200,Eventos!$M$8:$M$47,"&gt;="&amp;B200))</f>
        <v/>
      </c>
    </row>
    <row r="201">
      <c r="B201" s="19">
        <f>IF(Meses!$C$8+193&gt;=EDATE(Meses!$C$8,10),"",Meses!$C$8+193)</f>
        <v/>
      </c>
      <c r="C201" s="21">
        <f>IF(B201="","",MID("LunMarMiéJueVieSábDom",(WEEKDAY(B201,2)-1)*3+1,3))</f>
        <v/>
      </c>
      <c r="D201" s="22">
        <f>IF(B201="","",IF(AND(WEEKDAY(B201,2)&lt;=5,B201&gt;=Panel!$E$5,B201&lt;=Panel!$G$5),1,0))</f>
        <v/>
      </c>
      <c r="E201" s="22">
        <f>IF(B201="","",IF(D201=1,IF(COUNTIFS(Eventos!$D$8:$D$47,"&lt;="&amp;B201,Eventos!$M$8:$M$47,"&gt;="&amp;B201,Eventos!$I$8:$I$47,"Sí")&gt;0,1,0),0))</f>
        <v/>
      </c>
      <c r="F201" s="22">
        <f>IF(B201="","",D201-E201)</f>
        <v/>
      </c>
      <c r="G201" s="32">
        <f>IF(B201="","",DATE(YEAR(B201),MONTH(B201),1))</f>
        <v/>
      </c>
      <c r="H201" s="22">
        <f>IF(B201="","",COUNTIFS(Eventos!$D$8:$D$47,"&lt;="&amp;B201,Eventos!$M$8:$M$47,"&gt;="&amp;B201))</f>
        <v/>
      </c>
    </row>
    <row r="202">
      <c r="B202" s="19">
        <f>IF(Meses!$C$8+194&gt;=EDATE(Meses!$C$8,10),"",Meses!$C$8+194)</f>
        <v/>
      </c>
      <c r="C202" s="21">
        <f>IF(B202="","",MID("LunMarMiéJueVieSábDom",(WEEKDAY(B202,2)-1)*3+1,3))</f>
        <v/>
      </c>
      <c r="D202" s="22">
        <f>IF(B202="","",IF(AND(WEEKDAY(B202,2)&lt;=5,B202&gt;=Panel!$E$5,B202&lt;=Panel!$G$5),1,0))</f>
        <v/>
      </c>
      <c r="E202" s="22">
        <f>IF(B202="","",IF(D202=1,IF(COUNTIFS(Eventos!$D$8:$D$47,"&lt;="&amp;B202,Eventos!$M$8:$M$47,"&gt;="&amp;B202,Eventos!$I$8:$I$47,"Sí")&gt;0,1,0),0))</f>
        <v/>
      </c>
      <c r="F202" s="22">
        <f>IF(B202="","",D202-E202)</f>
        <v/>
      </c>
      <c r="G202" s="32">
        <f>IF(B202="","",DATE(YEAR(B202),MONTH(B202),1))</f>
        <v/>
      </c>
      <c r="H202" s="22">
        <f>IF(B202="","",COUNTIFS(Eventos!$D$8:$D$47,"&lt;="&amp;B202,Eventos!$M$8:$M$47,"&gt;="&amp;B202))</f>
        <v/>
      </c>
    </row>
    <row r="203">
      <c r="B203" s="19">
        <f>IF(Meses!$C$8+195&gt;=EDATE(Meses!$C$8,10),"",Meses!$C$8+195)</f>
        <v/>
      </c>
      <c r="C203" s="21">
        <f>IF(B203="","",MID("LunMarMiéJueVieSábDom",(WEEKDAY(B203,2)-1)*3+1,3))</f>
        <v/>
      </c>
      <c r="D203" s="22">
        <f>IF(B203="","",IF(AND(WEEKDAY(B203,2)&lt;=5,B203&gt;=Panel!$E$5,B203&lt;=Panel!$G$5),1,0))</f>
        <v/>
      </c>
      <c r="E203" s="22">
        <f>IF(B203="","",IF(D203=1,IF(COUNTIFS(Eventos!$D$8:$D$47,"&lt;="&amp;B203,Eventos!$M$8:$M$47,"&gt;="&amp;B203,Eventos!$I$8:$I$47,"Sí")&gt;0,1,0),0))</f>
        <v/>
      </c>
      <c r="F203" s="22">
        <f>IF(B203="","",D203-E203)</f>
        <v/>
      </c>
      <c r="G203" s="32">
        <f>IF(B203="","",DATE(YEAR(B203),MONTH(B203),1))</f>
        <v/>
      </c>
      <c r="H203" s="22">
        <f>IF(B203="","",COUNTIFS(Eventos!$D$8:$D$47,"&lt;="&amp;B203,Eventos!$M$8:$M$47,"&gt;="&amp;B203))</f>
        <v/>
      </c>
    </row>
    <row r="204">
      <c r="B204" s="19">
        <f>IF(Meses!$C$8+196&gt;=EDATE(Meses!$C$8,10),"",Meses!$C$8+196)</f>
        <v/>
      </c>
      <c r="C204" s="21">
        <f>IF(B204="","",MID("LunMarMiéJueVieSábDom",(WEEKDAY(B204,2)-1)*3+1,3))</f>
        <v/>
      </c>
      <c r="D204" s="22">
        <f>IF(B204="","",IF(AND(WEEKDAY(B204,2)&lt;=5,B204&gt;=Panel!$E$5,B204&lt;=Panel!$G$5),1,0))</f>
        <v/>
      </c>
      <c r="E204" s="22">
        <f>IF(B204="","",IF(D204=1,IF(COUNTIFS(Eventos!$D$8:$D$47,"&lt;="&amp;B204,Eventos!$M$8:$M$47,"&gt;="&amp;B204,Eventos!$I$8:$I$47,"Sí")&gt;0,1,0),0))</f>
        <v/>
      </c>
      <c r="F204" s="22">
        <f>IF(B204="","",D204-E204)</f>
        <v/>
      </c>
      <c r="G204" s="32">
        <f>IF(B204="","",DATE(YEAR(B204),MONTH(B204),1))</f>
        <v/>
      </c>
      <c r="H204" s="22">
        <f>IF(B204="","",COUNTIFS(Eventos!$D$8:$D$47,"&lt;="&amp;B204,Eventos!$M$8:$M$47,"&gt;="&amp;B204))</f>
        <v/>
      </c>
    </row>
    <row r="205">
      <c r="B205" s="19">
        <f>IF(Meses!$C$8+197&gt;=EDATE(Meses!$C$8,10),"",Meses!$C$8+197)</f>
        <v/>
      </c>
      <c r="C205" s="21">
        <f>IF(B205="","",MID("LunMarMiéJueVieSábDom",(WEEKDAY(B205,2)-1)*3+1,3))</f>
        <v/>
      </c>
      <c r="D205" s="22">
        <f>IF(B205="","",IF(AND(WEEKDAY(B205,2)&lt;=5,B205&gt;=Panel!$E$5,B205&lt;=Panel!$G$5),1,0))</f>
        <v/>
      </c>
      <c r="E205" s="22">
        <f>IF(B205="","",IF(D205=1,IF(COUNTIFS(Eventos!$D$8:$D$47,"&lt;="&amp;B205,Eventos!$M$8:$M$47,"&gt;="&amp;B205,Eventos!$I$8:$I$47,"Sí")&gt;0,1,0),0))</f>
        <v/>
      </c>
      <c r="F205" s="22">
        <f>IF(B205="","",D205-E205)</f>
        <v/>
      </c>
      <c r="G205" s="32">
        <f>IF(B205="","",DATE(YEAR(B205),MONTH(B205),1))</f>
        <v/>
      </c>
      <c r="H205" s="22">
        <f>IF(B205="","",COUNTIFS(Eventos!$D$8:$D$47,"&lt;="&amp;B205,Eventos!$M$8:$M$47,"&gt;="&amp;B205))</f>
        <v/>
      </c>
    </row>
    <row r="206">
      <c r="B206" s="19">
        <f>IF(Meses!$C$8+198&gt;=EDATE(Meses!$C$8,10),"",Meses!$C$8+198)</f>
        <v/>
      </c>
      <c r="C206" s="21">
        <f>IF(B206="","",MID("LunMarMiéJueVieSábDom",(WEEKDAY(B206,2)-1)*3+1,3))</f>
        <v/>
      </c>
      <c r="D206" s="22">
        <f>IF(B206="","",IF(AND(WEEKDAY(B206,2)&lt;=5,B206&gt;=Panel!$E$5,B206&lt;=Panel!$G$5),1,0))</f>
        <v/>
      </c>
      <c r="E206" s="22">
        <f>IF(B206="","",IF(D206=1,IF(COUNTIFS(Eventos!$D$8:$D$47,"&lt;="&amp;B206,Eventos!$M$8:$M$47,"&gt;="&amp;B206,Eventos!$I$8:$I$47,"Sí")&gt;0,1,0),0))</f>
        <v/>
      </c>
      <c r="F206" s="22">
        <f>IF(B206="","",D206-E206)</f>
        <v/>
      </c>
      <c r="G206" s="32">
        <f>IF(B206="","",DATE(YEAR(B206),MONTH(B206),1))</f>
        <v/>
      </c>
      <c r="H206" s="22">
        <f>IF(B206="","",COUNTIFS(Eventos!$D$8:$D$47,"&lt;="&amp;B206,Eventos!$M$8:$M$47,"&gt;="&amp;B206))</f>
        <v/>
      </c>
    </row>
    <row r="207">
      <c r="B207" s="19">
        <f>IF(Meses!$C$8+199&gt;=EDATE(Meses!$C$8,10),"",Meses!$C$8+199)</f>
        <v/>
      </c>
      <c r="C207" s="21">
        <f>IF(B207="","",MID("LunMarMiéJueVieSábDom",(WEEKDAY(B207,2)-1)*3+1,3))</f>
        <v/>
      </c>
      <c r="D207" s="22">
        <f>IF(B207="","",IF(AND(WEEKDAY(B207,2)&lt;=5,B207&gt;=Panel!$E$5,B207&lt;=Panel!$G$5),1,0))</f>
        <v/>
      </c>
      <c r="E207" s="22">
        <f>IF(B207="","",IF(D207=1,IF(COUNTIFS(Eventos!$D$8:$D$47,"&lt;="&amp;B207,Eventos!$M$8:$M$47,"&gt;="&amp;B207,Eventos!$I$8:$I$47,"Sí")&gt;0,1,0),0))</f>
        <v/>
      </c>
      <c r="F207" s="22">
        <f>IF(B207="","",D207-E207)</f>
        <v/>
      </c>
      <c r="G207" s="32">
        <f>IF(B207="","",DATE(YEAR(B207),MONTH(B207),1))</f>
        <v/>
      </c>
      <c r="H207" s="22">
        <f>IF(B207="","",COUNTIFS(Eventos!$D$8:$D$47,"&lt;="&amp;B207,Eventos!$M$8:$M$47,"&gt;="&amp;B207))</f>
        <v/>
      </c>
    </row>
    <row r="208">
      <c r="B208" s="19">
        <f>IF(Meses!$C$8+200&gt;=EDATE(Meses!$C$8,10),"",Meses!$C$8+200)</f>
        <v/>
      </c>
      <c r="C208" s="21">
        <f>IF(B208="","",MID("LunMarMiéJueVieSábDom",(WEEKDAY(B208,2)-1)*3+1,3))</f>
        <v/>
      </c>
      <c r="D208" s="22">
        <f>IF(B208="","",IF(AND(WEEKDAY(B208,2)&lt;=5,B208&gt;=Panel!$E$5,B208&lt;=Panel!$G$5),1,0))</f>
        <v/>
      </c>
      <c r="E208" s="22">
        <f>IF(B208="","",IF(D208=1,IF(COUNTIFS(Eventos!$D$8:$D$47,"&lt;="&amp;B208,Eventos!$M$8:$M$47,"&gt;="&amp;B208,Eventos!$I$8:$I$47,"Sí")&gt;0,1,0),0))</f>
        <v/>
      </c>
      <c r="F208" s="22">
        <f>IF(B208="","",D208-E208)</f>
        <v/>
      </c>
      <c r="G208" s="32">
        <f>IF(B208="","",DATE(YEAR(B208),MONTH(B208),1))</f>
        <v/>
      </c>
      <c r="H208" s="22">
        <f>IF(B208="","",COUNTIFS(Eventos!$D$8:$D$47,"&lt;="&amp;B208,Eventos!$M$8:$M$47,"&gt;="&amp;B208))</f>
        <v/>
      </c>
    </row>
    <row r="209">
      <c r="B209" s="19">
        <f>IF(Meses!$C$8+201&gt;=EDATE(Meses!$C$8,10),"",Meses!$C$8+201)</f>
        <v/>
      </c>
      <c r="C209" s="21">
        <f>IF(B209="","",MID("LunMarMiéJueVieSábDom",(WEEKDAY(B209,2)-1)*3+1,3))</f>
        <v/>
      </c>
      <c r="D209" s="22">
        <f>IF(B209="","",IF(AND(WEEKDAY(B209,2)&lt;=5,B209&gt;=Panel!$E$5,B209&lt;=Panel!$G$5),1,0))</f>
        <v/>
      </c>
      <c r="E209" s="22">
        <f>IF(B209="","",IF(D209=1,IF(COUNTIFS(Eventos!$D$8:$D$47,"&lt;="&amp;B209,Eventos!$M$8:$M$47,"&gt;="&amp;B209,Eventos!$I$8:$I$47,"Sí")&gt;0,1,0),0))</f>
        <v/>
      </c>
      <c r="F209" s="22">
        <f>IF(B209="","",D209-E209)</f>
        <v/>
      </c>
      <c r="G209" s="32">
        <f>IF(B209="","",DATE(YEAR(B209),MONTH(B209),1))</f>
        <v/>
      </c>
      <c r="H209" s="22">
        <f>IF(B209="","",COUNTIFS(Eventos!$D$8:$D$47,"&lt;="&amp;B209,Eventos!$M$8:$M$47,"&gt;="&amp;B209))</f>
        <v/>
      </c>
    </row>
    <row r="210">
      <c r="B210" s="19">
        <f>IF(Meses!$C$8+202&gt;=EDATE(Meses!$C$8,10),"",Meses!$C$8+202)</f>
        <v/>
      </c>
      <c r="C210" s="21">
        <f>IF(B210="","",MID("LunMarMiéJueVieSábDom",(WEEKDAY(B210,2)-1)*3+1,3))</f>
        <v/>
      </c>
      <c r="D210" s="22">
        <f>IF(B210="","",IF(AND(WEEKDAY(B210,2)&lt;=5,B210&gt;=Panel!$E$5,B210&lt;=Panel!$G$5),1,0))</f>
        <v/>
      </c>
      <c r="E210" s="22">
        <f>IF(B210="","",IF(D210=1,IF(COUNTIFS(Eventos!$D$8:$D$47,"&lt;="&amp;B210,Eventos!$M$8:$M$47,"&gt;="&amp;B210,Eventos!$I$8:$I$47,"Sí")&gt;0,1,0),0))</f>
        <v/>
      </c>
      <c r="F210" s="22">
        <f>IF(B210="","",D210-E210)</f>
        <v/>
      </c>
      <c r="G210" s="32">
        <f>IF(B210="","",DATE(YEAR(B210),MONTH(B210),1))</f>
        <v/>
      </c>
      <c r="H210" s="22">
        <f>IF(B210="","",COUNTIFS(Eventos!$D$8:$D$47,"&lt;="&amp;B210,Eventos!$M$8:$M$47,"&gt;="&amp;B210))</f>
        <v/>
      </c>
    </row>
    <row r="211">
      <c r="B211" s="19">
        <f>IF(Meses!$C$8+203&gt;=EDATE(Meses!$C$8,10),"",Meses!$C$8+203)</f>
        <v/>
      </c>
      <c r="C211" s="21">
        <f>IF(B211="","",MID("LunMarMiéJueVieSábDom",(WEEKDAY(B211,2)-1)*3+1,3))</f>
        <v/>
      </c>
      <c r="D211" s="22">
        <f>IF(B211="","",IF(AND(WEEKDAY(B211,2)&lt;=5,B211&gt;=Panel!$E$5,B211&lt;=Panel!$G$5),1,0))</f>
        <v/>
      </c>
      <c r="E211" s="22">
        <f>IF(B211="","",IF(D211=1,IF(COUNTIFS(Eventos!$D$8:$D$47,"&lt;="&amp;B211,Eventos!$M$8:$M$47,"&gt;="&amp;B211,Eventos!$I$8:$I$47,"Sí")&gt;0,1,0),0))</f>
        <v/>
      </c>
      <c r="F211" s="22">
        <f>IF(B211="","",D211-E211)</f>
        <v/>
      </c>
      <c r="G211" s="32">
        <f>IF(B211="","",DATE(YEAR(B211),MONTH(B211),1))</f>
        <v/>
      </c>
      <c r="H211" s="22">
        <f>IF(B211="","",COUNTIFS(Eventos!$D$8:$D$47,"&lt;="&amp;B211,Eventos!$M$8:$M$47,"&gt;="&amp;B211))</f>
        <v/>
      </c>
    </row>
    <row r="212">
      <c r="B212" s="19">
        <f>IF(Meses!$C$8+204&gt;=EDATE(Meses!$C$8,10),"",Meses!$C$8+204)</f>
        <v/>
      </c>
      <c r="C212" s="21">
        <f>IF(B212="","",MID("LunMarMiéJueVieSábDom",(WEEKDAY(B212,2)-1)*3+1,3))</f>
        <v/>
      </c>
      <c r="D212" s="22">
        <f>IF(B212="","",IF(AND(WEEKDAY(B212,2)&lt;=5,B212&gt;=Panel!$E$5,B212&lt;=Panel!$G$5),1,0))</f>
        <v/>
      </c>
      <c r="E212" s="22">
        <f>IF(B212="","",IF(D212=1,IF(COUNTIFS(Eventos!$D$8:$D$47,"&lt;="&amp;B212,Eventos!$M$8:$M$47,"&gt;="&amp;B212,Eventos!$I$8:$I$47,"Sí")&gt;0,1,0),0))</f>
        <v/>
      </c>
      <c r="F212" s="22">
        <f>IF(B212="","",D212-E212)</f>
        <v/>
      </c>
      <c r="G212" s="32">
        <f>IF(B212="","",DATE(YEAR(B212),MONTH(B212),1))</f>
        <v/>
      </c>
      <c r="H212" s="22">
        <f>IF(B212="","",COUNTIFS(Eventos!$D$8:$D$47,"&lt;="&amp;B212,Eventos!$M$8:$M$47,"&gt;="&amp;B212))</f>
        <v/>
      </c>
    </row>
    <row r="213">
      <c r="B213" s="19">
        <f>IF(Meses!$C$8+205&gt;=EDATE(Meses!$C$8,10),"",Meses!$C$8+205)</f>
        <v/>
      </c>
      <c r="C213" s="21">
        <f>IF(B213="","",MID("LunMarMiéJueVieSábDom",(WEEKDAY(B213,2)-1)*3+1,3))</f>
        <v/>
      </c>
      <c r="D213" s="22">
        <f>IF(B213="","",IF(AND(WEEKDAY(B213,2)&lt;=5,B213&gt;=Panel!$E$5,B213&lt;=Panel!$G$5),1,0))</f>
        <v/>
      </c>
      <c r="E213" s="22">
        <f>IF(B213="","",IF(D213=1,IF(COUNTIFS(Eventos!$D$8:$D$47,"&lt;="&amp;B213,Eventos!$M$8:$M$47,"&gt;="&amp;B213,Eventos!$I$8:$I$47,"Sí")&gt;0,1,0),0))</f>
        <v/>
      </c>
      <c r="F213" s="22">
        <f>IF(B213="","",D213-E213)</f>
        <v/>
      </c>
      <c r="G213" s="32">
        <f>IF(B213="","",DATE(YEAR(B213),MONTH(B213),1))</f>
        <v/>
      </c>
      <c r="H213" s="22">
        <f>IF(B213="","",COUNTIFS(Eventos!$D$8:$D$47,"&lt;="&amp;B213,Eventos!$M$8:$M$47,"&gt;="&amp;B213))</f>
        <v/>
      </c>
    </row>
    <row r="214">
      <c r="B214" s="19">
        <f>IF(Meses!$C$8+206&gt;=EDATE(Meses!$C$8,10),"",Meses!$C$8+206)</f>
        <v/>
      </c>
      <c r="C214" s="21">
        <f>IF(B214="","",MID("LunMarMiéJueVieSábDom",(WEEKDAY(B214,2)-1)*3+1,3))</f>
        <v/>
      </c>
      <c r="D214" s="22">
        <f>IF(B214="","",IF(AND(WEEKDAY(B214,2)&lt;=5,B214&gt;=Panel!$E$5,B214&lt;=Panel!$G$5),1,0))</f>
        <v/>
      </c>
      <c r="E214" s="22">
        <f>IF(B214="","",IF(D214=1,IF(COUNTIFS(Eventos!$D$8:$D$47,"&lt;="&amp;B214,Eventos!$M$8:$M$47,"&gt;="&amp;B214,Eventos!$I$8:$I$47,"Sí")&gt;0,1,0),0))</f>
        <v/>
      </c>
      <c r="F214" s="22">
        <f>IF(B214="","",D214-E214)</f>
        <v/>
      </c>
      <c r="G214" s="32">
        <f>IF(B214="","",DATE(YEAR(B214),MONTH(B214),1))</f>
        <v/>
      </c>
      <c r="H214" s="22">
        <f>IF(B214="","",COUNTIFS(Eventos!$D$8:$D$47,"&lt;="&amp;B214,Eventos!$M$8:$M$47,"&gt;="&amp;B214))</f>
        <v/>
      </c>
    </row>
    <row r="215">
      <c r="B215" s="19">
        <f>IF(Meses!$C$8+207&gt;=EDATE(Meses!$C$8,10),"",Meses!$C$8+207)</f>
        <v/>
      </c>
      <c r="C215" s="21">
        <f>IF(B215="","",MID("LunMarMiéJueVieSábDom",(WEEKDAY(B215,2)-1)*3+1,3))</f>
        <v/>
      </c>
      <c r="D215" s="22">
        <f>IF(B215="","",IF(AND(WEEKDAY(B215,2)&lt;=5,B215&gt;=Panel!$E$5,B215&lt;=Panel!$G$5),1,0))</f>
        <v/>
      </c>
      <c r="E215" s="22">
        <f>IF(B215="","",IF(D215=1,IF(COUNTIFS(Eventos!$D$8:$D$47,"&lt;="&amp;B215,Eventos!$M$8:$M$47,"&gt;="&amp;B215,Eventos!$I$8:$I$47,"Sí")&gt;0,1,0),0))</f>
        <v/>
      </c>
      <c r="F215" s="22">
        <f>IF(B215="","",D215-E215)</f>
        <v/>
      </c>
      <c r="G215" s="32">
        <f>IF(B215="","",DATE(YEAR(B215),MONTH(B215),1))</f>
        <v/>
      </c>
      <c r="H215" s="22">
        <f>IF(B215="","",COUNTIFS(Eventos!$D$8:$D$47,"&lt;="&amp;B215,Eventos!$M$8:$M$47,"&gt;="&amp;B215))</f>
        <v/>
      </c>
    </row>
    <row r="216">
      <c r="B216" s="19">
        <f>IF(Meses!$C$8+208&gt;=EDATE(Meses!$C$8,10),"",Meses!$C$8+208)</f>
        <v/>
      </c>
      <c r="C216" s="21">
        <f>IF(B216="","",MID("LunMarMiéJueVieSábDom",(WEEKDAY(B216,2)-1)*3+1,3))</f>
        <v/>
      </c>
      <c r="D216" s="22">
        <f>IF(B216="","",IF(AND(WEEKDAY(B216,2)&lt;=5,B216&gt;=Panel!$E$5,B216&lt;=Panel!$G$5),1,0))</f>
        <v/>
      </c>
      <c r="E216" s="22">
        <f>IF(B216="","",IF(D216=1,IF(COUNTIFS(Eventos!$D$8:$D$47,"&lt;="&amp;B216,Eventos!$M$8:$M$47,"&gt;="&amp;B216,Eventos!$I$8:$I$47,"Sí")&gt;0,1,0),0))</f>
        <v/>
      </c>
      <c r="F216" s="22">
        <f>IF(B216="","",D216-E216)</f>
        <v/>
      </c>
      <c r="G216" s="32">
        <f>IF(B216="","",DATE(YEAR(B216),MONTH(B216),1))</f>
        <v/>
      </c>
      <c r="H216" s="22">
        <f>IF(B216="","",COUNTIFS(Eventos!$D$8:$D$47,"&lt;="&amp;B216,Eventos!$M$8:$M$47,"&gt;="&amp;B216))</f>
        <v/>
      </c>
    </row>
    <row r="217">
      <c r="B217" s="19">
        <f>IF(Meses!$C$8+209&gt;=EDATE(Meses!$C$8,10),"",Meses!$C$8+209)</f>
        <v/>
      </c>
      <c r="C217" s="21">
        <f>IF(B217="","",MID("LunMarMiéJueVieSábDom",(WEEKDAY(B217,2)-1)*3+1,3))</f>
        <v/>
      </c>
      <c r="D217" s="22">
        <f>IF(B217="","",IF(AND(WEEKDAY(B217,2)&lt;=5,B217&gt;=Panel!$E$5,B217&lt;=Panel!$G$5),1,0))</f>
        <v/>
      </c>
      <c r="E217" s="22">
        <f>IF(B217="","",IF(D217=1,IF(COUNTIFS(Eventos!$D$8:$D$47,"&lt;="&amp;B217,Eventos!$M$8:$M$47,"&gt;="&amp;B217,Eventos!$I$8:$I$47,"Sí")&gt;0,1,0),0))</f>
        <v/>
      </c>
      <c r="F217" s="22">
        <f>IF(B217="","",D217-E217)</f>
        <v/>
      </c>
      <c r="G217" s="32">
        <f>IF(B217="","",DATE(YEAR(B217),MONTH(B217),1))</f>
        <v/>
      </c>
      <c r="H217" s="22">
        <f>IF(B217="","",COUNTIFS(Eventos!$D$8:$D$47,"&lt;="&amp;B217,Eventos!$M$8:$M$47,"&gt;="&amp;B217))</f>
        <v/>
      </c>
    </row>
    <row r="218">
      <c r="B218" s="19">
        <f>IF(Meses!$C$8+210&gt;=EDATE(Meses!$C$8,10),"",Meses!$C$8+210)</f>
        <v/>
      </c>
      <c r="C218" s="21">
        <f>IF(B218="","",MID("LunMarMiéJueVieSábDom",(WEEKDAY(B218,2)-1)*3+1,3))</f>
        <v/>
      </c>
      <c r="D218" s="22">
        <f>IF(B218="","",IF(AND(WEEKDAY(B218,2)&lt;=5,B218&gt;=Panel!$E$5,B218&lt;=Panel!$G$5),1,0))</f>
        <v/>
      </c>
      <c r="E218" s="22">
        <f>IF(B218="","",IF(D218=1,IF(COUNTIFS(Eventos!$D$8:$D$47,"&lt;="&amp;B218,Eventos!$M$8:$M$47,"&gt;="&amp;B218,Eventos!$I$8:$I$47,"Sí")&gt;0,1,0),0))</f>
        <v/>
      </c>
      <c r="F218" s="22">
        <f>IF(B218="","",D218-E218)</f>
        <v/>
      </c>
      <c r="G218" s="32">
        <f>IF(B218="","",DATE(YEAR(B218),MONTH(B218),1))</f>
        <v/>
      </c>
      <c r="H218" s="22">
        <f>IF(B218="","",COUNTIFS(Eventos!$D$8:$D$47,"&lt;="&amp;B218,Eventos!$M$8:$M$47,"&gt;="&amp;B218))</f>
        <v/>
      </c>
    </row>
    <row r="219">
      <c r="B219" s="19">
        <f>IF(Meses!$C$8+211&gt;=EDATE(Meses!$C$8,10),"",Meses!$C$8+211)</f>
        <v/>
      </c>
      <c r="C219" s="21">
        <f>IF(B219="","",MID("LunMarMiéJueVieSábDom",(WEEKDAY(B219,2)-1)*3+1,3))</f>
        <v/>
      </c>
      <c r="D219" s="22">
        <f>IF(B219="","",IF(AND(WEEKDAY(B219,2)&lt;=5,B219&gt;=Panel!$E$5,B219&lt;=Panel!$G$5),1,0))</f>
        <v/>
      </c>
      <c r="E219" s="22">
        <f>IF(B219="","",IF(D219=1,IF(COUNTIFS(Eventos!$D$8:$D$47,"&lt;="&amp;B219,Eventos!$M$8:$M$47,"&gt;="&amp;B219,Eventos!$I$8:$I$47,"Sí")&gt;0,1,0),0))</f>
        <v/>
      </c>
      <c r="F219" s="22">
        <f>IF(B219="","",D219-E219)</f>
        <v/>
      </c>
      <c r="G219" s="32">
        <f>IF(B219="","",DATE(YEAR(B219),MONTH(B219),1))</f>
        <v/>
      </c>
      <c r="H219" s="22">
        <f>IF(B219="","",COUNTIFS(Eventos!$D$8:$D$47,"&lt;="&amp;B219,Eventos!$M$8:$M$47,"&gt;="&amp;B219))</f>
        <v/>
      </c>
    </row>
    <row r="220">
      <c r="B220" s="19">
        <f>IF(Meses!$C$8+212&gt;=EDATE(Meses!$C$8,10),"",Meses!$C$8+212)</f>
        <v/>
      </c>
      <c r="C220" s="21">
        <f>IF(B220="","",MID("LunMarMiéJueVieSábDom",(WEEKDAY(B220,2)-1)*3+1,3))</f>
        <v/>
      </c>
      <c r="D220" s="22">
        <f>IF(B220="","",IF(AND(WEEKDAY(B220,2)&lt;=5,B220&gt;=Panel!$E$5,B220&lt;=Panel!$G$5),1,0))</f>
        <v/>
      </c>
      <c r="E220" s="22">
        <f>IF(B220="","",IF(D220=1,IF(COUNTIFS(Eventos!$D$8:$D$47,"&lt;="&amp;B220,Eventos!$M$8:$M$47,"&gt;="&amp;B220,Eventos!$I$8:$I$47,"Sí")&gt;0,1,0),0))</f>
        <v/>
      </c>
      <c r="F220" s="22">
        <f>IF(B220="","",D220-E220)</f>
        <v/>
      </c>
      <c r="G220" s="32">
        <f>IF(B220="","",DATE(YEAR(B220),MONTH(B220),1))</f>
        <v/>
      </c>
      <c r="H220" s="22">
        <f>IF(B220="","",COUNTIFS(Eventos!$D$8:$D$47,"&lt;="&amp;B220,Eventos!$M$8:$M$47,"&gt;="&amp;B220))</f>
        <v/>
      </c>
    </row>
    <row r="221">
      <c r="B221" s="19">
        <f>IF(Meses!$C$8+213&gt;=EDATE(Meses!$C$8,10),"",Meses!$C$8+213)</f>
        <v/>
      </c>
      <c r="C221" s="21">
        <f>IF(B221="","",MID("LunMarMiéJueVieSábDom",(WEEKDAY(B221,2)-1)*3+1,3))</f>
        <v/>
      </c>
      <c r="D221" s="22">
        <f>IF(B221="","",IF(AND(WEEKDAY(B221,2)&lt;=5,B221&gt;=Panel!$E$5,B221&lt;=Panel!$G$5),1,0))</f>
        <v/>
      </c>
      <c r="E221" s="22">
        <f>IF(B221="","",IF(D221=1,IF(COUNTIFS(Eventos!$D$8:$D$47,"&lt;="&amp;B221,Eventos!$M$8:$M$47,"&gt;="&amp;B221,Eventos!$I$8:$I$47,"Sí")&gt;0,1,0),0))</f>
        <v/>
      </c>
      <c r="F221" s="22">
        <f>IF(B221="","",D221-E221)</f>
        <v/>
      </c>
      <c r="G221" s="32">
        <f>IF(B221="","",DATE(YEAR(B221),MONTH(B221),1))</f>
        <v/>
      </c>
      <c r="H221" s="22">
        <f>IF(B221="","",COUNTIFS(Eventos!$D$8:$D$47,"&lt;="&amp;B221,Eventos!$M$8:$M$47,"&gt;="&amp;B221))</f>
        <v/>
      </c>
    </row>
    <row r="222">
      <c r="B222" s="19">
        <f>IF(Meses!$C$8+214&gt;=EDATE(Meses!$C$8,10),"",Meses!$C$8+214)</f>
        <v/>
      </c>
      <c r="C222" s="21">
        <f>IF(B222="","",MID("LunMarMiéJueVieSábDom",(WEEKDAY(B222,2)-1)*3+1,3))</f>
        <v/>
      </c>
      <c r="D222" s="22">
        <f>IF(B222="","",IF(AND(WEEKDAY(B222,2)&lt;=5,B222&gt;=Panel!$E$5,B222&lt;=Panel!$G$5),1,0))</f>
        <v/>
      </c>
      <c r="E222" s="22">
        <f>IF(B222="","",IF(D222=1,IF(COUNTIFS(Eventos!$D$8:$D$47,"&lt;="&amp;B222,Eventos!$M$8:$M$47,"&gt;="&amp;B222,Eventos!$I$8:$I$47,"Sí")&gt;0,1,0),0))</f>
        <v/>
      </c>
      <c r="F222" s="22">
        <f>IF(B222="","",D222-E222)</f>
        <v/>
      </c>
      <c r="G222" s="32">
        <f>IF(B222="","",DATE(YEAR(B222),MONTH(B222),1))</f>
        <v/>
      </c>
      <c r="H222" s="22">
        <f>IF(B222="","",COUNTIFS(Eventos!$D$8:$D$47,"&lt;="&amp;B222,Eventos!$M$8:$M$47,"&gt;="&amp;B222))</f>
        <v/>
      </c>
    </row>
    <row r="223">
      <c r="B223" s="19">
        <f>IF(Meses!$C$8+215&gt;=EDATE(Meses!$C$8,10),"",Meses!$C$8+215)</f>
        <v/>
      </c>
      <c r="C223" s="21">
        <f>IF(B223="","",MID("LunMarMiéJueVieSábDom",(WEEKDAY(B223,2)-1)*3+1,3))</f>
        <v/>
      </c>
      <c r="D223" s="22">
        <f>IF(B223="","",IF(AND(WEEKDAY(B223,2)&lt;=5,B223&gt;=Panel!$E$5,B223&lt;=Panel!$G$5),1,0))</f>
        <v/>
      </c>
      <c r="E223" s="22">
        <f>IF(B223="","",IF(D223=1,IF(COUNTIFS(Eventos!$D$8:$D$47,"&lt;="&amp;B223,Eventos!$M$8:$M$47,"&gt;="&amp;B223,Eventos!$I$8:$I$47,"Sí")&gt;0,1,0),0))</f>
        <v/>
      </c>
      <c r="F223" s="22">
        <f>IF(B223="","",D223-E223)</f>
        <v/>
      </c>
      <c r="G223" s="32">
        <f>IF(B223="","",DATE(YEAR(B223),MONTH(B223),1))</f>
        <v/>
      </c>
      <c r="H223" s="22">
        <f>IF(B223="","",COUNTIFS(Eventos!$D$8:$D$47,"&lt;="&amp;B223,Eventos!$M$8:$M$47,"&gt;="&amp;B223))</f>
        <v/>
      </c>
    </row>
    <row r="224">
      <c r="B224" s="19">
        <f>IF(Meses!$C$8+216&gt;=EDATE(Meses!$C$8,10),"",Meses!$C$8+216)</f>
        <v/>
      </c>
      <c r="C224" s="21">
        <f>IF(B224="","",MID("LunMarMiéJueVieSábDom",(WEEKDAY(B224,2)-1)*3+1,3))</f>
        <v/>
      </c>
      <c r="D224" s="22">
        <f>IF(B224="","",IF(AND(WEEKDAY(B224,2)&lt;=5,B224&gt;=Panel!$E$5,B224&lt;=Panel!$G$5),1,0))</f>
        <v/>
      </c>
      <c r="E224" s="22">
        <f>IF(B224="","",IF(D224=1,IF(COUNTIFS(Eventos!$D$8:$D$47,"&lt;="&amp;B224,Eventos!$M$8:$M$47,"&gt;="&amp;B224,Eventos!$I$8:$I$47,"Sí")&gt;0,1,0),0))</f>
        <v/>
      </c>
      <c r="F224" s="22">
        <f>IF(B224="","",D224-E224)</f>
        <v/>
      </c>
      <c r="G224" s="32">
        <f>IF(B224="","",DATE(YEAR(B224),MONTH(B224),1))</f>
        <v/>
      </c>
      <c r="H224" s="22">
        <f>IF(B224="","",COUNTIFS(Eventos!$D$8:$D$47,"&lt;="&amp;B224,Eventos!$M$8:$M$47,"&gt;="&amp;B224))</f>
        <v/>
      </c>
    </row>
    <row r="225">
      <c r="B225" s="19">
        <f>IF(Meses!$C$8+217&gt;=EDATE(Meses!$C$8,10),"",Meses!$C$8+217)</f>
        <v/>
      </c>
      <c r="C225" s="21">
        <f>IF(B225="","",MID("LunMarMiéJueVieSábDom",(WEEKDAY(B225,2)-1)*3+1,3))</f>
        <v/>
      </c>
      <c r="D225" s="22">
        <f>IF(B225="","",IF(AND(WEEKDAY(B225,2)&lt;=5,B225&gt;=Panel!$E$5,B225&lt;=Panel!$G$5),1,0))</f>
        <v/>
      </c>
      <c r="E225" s="22">
        <f>IF(B225="","",IF(D225=1,IF(COUNTIFS(Eventos!$D$8:$D$47,"&lt;="&amp;B225,Eventos!$M$8:$M$47,"&gt;="&amp;B225,Eventos!$I$8:$I$47,"Sí")&gt;0,1,0),0))</f>
        <v/>
      </c>
      <c r="F225" s="22">
        <f>IF(B225="","",D225-E225)</f>
        <v/>
      </c>
      <c r="G225" s="32">
        <f>IF(B225="","",DATE(YEAR(B225),MONTH(B225),1))</f>
        <v/>
      </c>
      <c r="H225" s="22">
        <f>IF(B225="","",COUNTIFS(Eventos!$D$8:$D$47,"&lt;="&amp;B225,Eventos!$M$8:$M$47,"&gt;="&amp;B225))</f>
        <v/>
      </c>
    </row>
    <row r="226">
      <c r="B226" s="19">
        <f>IF(Meses!$C$8+218&gt;=EDATE(Meses!$C$8,10),"",Meses!$C$8+218)</f>
        <v/>
      </c>
      <c r="C226" s="21">
        <f>IF(B226="","",MID("LunMarMiéJueVieSábDom",(WEEKDAY(B226,2)-1)*3+1,3))</f>
        <v/>
      </c>
      <c r="D226" s="22">
        <f>IF(B226="","",IF(AND(WEEKDAY(B226,2)&lt;=5,B226&gt;=Panel!$E$5,B226&lt;=Panel!$G$5),1,0))</f>
        <v/>
      </c>
      <c r="E226" s="22">
        <f>IF(B226="","",IF(D226=1,IF(COUNTIFS(Eventos!$D$8:$D$47,"&lt;="&amp;B226,Eventos!$M$8:$M$47,"&gt;="&amp;B226,Eventos!$I$8:$I$47,"Sí")&gt;0,1,0),0))</f>
        <v/>
      </c>
      <c r="F226" s="22">
        <f>IF(B226="","",D226-E226)</f>
        <v/>
      </c>
      <c r="G226" s="32">
        <f>IF(B226="","",DATE(YEAR(B226),MONTH(B226),1))</f>
        <v/>
      </c>
      <c r="H226" s="22">
        <f>IF(B226="","",COUNTIFS(Eventos!$D$8:$D$47,"&lt;="&amp;B226,Eventos!$M$8:$M$47,"&gt;="&amp;B226))</f>
        <v/>
      </c>
    </row>
    <row r="227">
      <c r="B227" s="19">
        <f>IF(Meses!$C$8+219&gt;=EDATE(Meses!$C$8,10),"",Meses!$C$8+219)</f>
        <v/>
      </c>
      <c r="C227" s="21">
        <f>IF(B227="","",MID("LunMarMiéJueVieSábDom",(WEEKDAY(B227,2)-1)*3+1,3))</f>
        <v/>
      </c>
      <c r="D227" s="22">
        <f>IF(B227="","",IF(AND(WEEKDAY(B227,2)&lt;=5,B227&gt;=Panel!$E$5,B227&lt;=Panel!$G$5),1,0))</f>
        <v/>
      </c>
      <c r="E227" s="22">
        <f>IF(B227="","",IF(D227=1,IF(COUNTIFS(Eventos!$D$8:$D$47,"&lt;="&amp;B227,Eventos!$M$8:$M$47,"&gt;="&amp;B227,Eventos!$I$8:$I$47,"Sí")&gt;0,1,0),0))</f>
        <v/>
      </c>
      <c r="F227" s="22">
        <f>IF(B227="","",D227-E227)</f>
        <v/>
      </c>
      <c r="G227" s="32">
        <f>IF(B227="","",DATE(YEAR(B227),MONTH(B227),1))</f>
        <v/>
      </c>
      <c r="H227" s="22">
        <f>IF(B227="","",COUNTIFS(Eventos!$D$8:$D$47,"&lt;="&amp;B227,Eventos!$M$8:$M$47,"&gt;="&amp;B227))</f>
        <v/>
      </c>
    </row>
    <row r="228">
      <c r="B228" s="19">
        <f>IF(Meses!$C$8+220&gt;=EDATE(Meses!$C$8,10),"",Meses!$C$8+220)</f>
        <v/>
      </c>
      <c r="C228" s="21">
        <f>IF(B228="","",MID("LunMarMiéJueVieSábDom",(WEEKDAY(B228,2)-1)*3+1,3))</f>
        <v/>
      </c>
      <c r="D228" s="22">
        <f>IF(B228="","",IF(AND(WEEKDAY(B228,2)&lt;=5,B228&gt;=Panel!$E$5,B228&lt;=Panel!$G$5),1,0))</f>
        <v/>
      </c>
      <c r="E228" s="22">
        <f>IF(B228="","",IF(D228=1,IF(COUNTIFS(Eventos!$D$8:$D$47,"&lt;="&amp;B228,Eventos!$M$8:$M$47,"&gt;="&amp;B228,Eventos!$I$8:$I$47,"Sí")&gt;0,1,0),0))</f>
        <v/>
      </c>
      <c r="F228" s="22">
        <f>IF(B228="","",D228-E228)</f>
        <v/>
      </c>
      <c r="G228" s="32">
        <f>IF(B228="","",DATE(YEAR(B228),MONTH(B228),1))</f>
        <v/>
      </c>
      <c r="H228" s="22">
        <f>IF(B228="","",COUNTIFS(Eventos!$D$8:$D$47,"&lt;="&amp;B228,Eventos!$M$8:$M$47,"&gt;="&amp;B228))</f>
        <v/>
      </c>
    </row>
    <row r="229">
      <c r="B229" s="19">
        <f>IF(Meses!$C$8+221&gt;=EDATE(Meses!$C$8,10),"",Meses!$C$8+221)</f>
        <v/>
      </c>
      <c r="C229" s="21">
        <f>IF(B229="","",MID("LunMarMiéJueVieSábDom",(WEEKDAY(B229,2)-1)*3+1,3))</f>
        <v/>
      </c>
      <c r="D229" s="22">
        <f>IF(B229="","",IF(AND(WEEKDAY(B229,2)&lt;=5,B229&gt;=Panel!$E$5,B229&lt;=Panel!$G$5),1,0))</f>
        <v/>
      </c>
      <c r="E229" s="22">
        <f>IF(B229="","",IF(D229=1,IF(COUNTIFS(Eventos!$D$8:$D$47,"&lt;="&amp;B229,Eventos!$M$8:$M$47,"&gt;="&amp;B229,Eventos!$I$8:$I$47,"Sí")&gt;0,1,0),0))</f>
        <v/>
      </c>
      <c r="F229" s="22">
        <f>IF(B229="","",D229-E229)</f>
        <v/>
      </c>
      <c r="G229" s="32">
        <f>IF(B229="","",DATE(YEAR(B229),MONTH(B229),1))</f>
        <v/>
      </c>
      <c r="H229" s="22">
        <f>IF(B229="","",COUNTIFS(Eventos!$D$8:$D$47,"&lt;="&amp;B229,Eventos!$M$8:$M$47,"&gt;="&amp;B229))</f>
        <v/>
      </c>
    </row>
    <row r="230">
      <c r="B230" s="19">
        <f>IF(Meses!$C$8+222&gt;=EDATE(Meses!$C$8,10),"",Meses!$C$8+222)</f>
        <v/>
      </c>
      <c r="C230" s="21">
        <f>IF(B230="","",MID("LunMarMiéJueVieSábDom",(WEEKDAY(B230,2)-1)*3+1,3))</f>
        <v/>
      </c>
      <c r="D230" s="22">
        <f>IF(B230="","",IF(AND(WEEKDAY(B230,2)&lt;=5,B230&gt;=Panel!$E$5,B230&lt;=Panel!$G$5),1,0))</f>
        <v/>
      </c>
      <c r="E230" s="22">
        <f>IF(B230="","",IF(D230=1,IF(COUNTIFS(Eventos!$D$8:$D$47,"&lt;="&amp;B230,Eventos!$M$8:$M$47,"&gt;="&amp;B230,Eventos!$I$8:$I$47,"Sí")&gt;0,1,0),0))</f>
        <v/>
      </c>
      <c r="F230" s="22">
        <f>IF(B230="","",D230-E230)</f>
        <v/>
      </c>
      <c r="G230" s="32">
        <f>IF(B230="","",DATE(YEAR(B230),MONTH(B230),1))</f>
        <v/>
      </c>
      <c r="H230" s="22">
        <f>IF(B230="","",COUNTIFS(Eventos!$D$8:$D$47,"&lt;="&amp;B230,Eventos!$M$8:$M$47,"&gt;="&amp;B230))</f>
        <v/>
      </c>
    </row>
    <row r="231">
      <c r="B231" s="19">
        <f>IF(Meses!$C$8+223&gt;=EDATE(Meses!$C$8,10),"",Meses!$C$8+223)</f>
        <v/>
      </c>
      <c r="C231" s="21">
        <f>IF(B231="","",MID("LunMarMiéJueVieSábDom",(WEEKDAY(B231,2)-1)*3+1,3))</f>
        <v/>
      </c>
      <c r="D231" s="22">
        <f>IF(B231="","",IF(AND(WEEKDAY(B231,2)&lt;=5,B231&gt;=Panel!$E$5,B231&lt;=Panel!$G$5),1,0))</f>
        <v/>
      </c>
      <c r="E231" s="22">
        <f>IF(B231="","",IF(D231=1,IF(COUNTIFS(Eventos!$D$8:$D$47,"&lt;="&amp;B231,Eventos!$M$8:$M$47,"&gt;="&amp;B231,Eventos!$I$8:$I$47,"Sí")&gt;0,1,0),0))</f>
        <v/>
      </c>
      <c r="F231" s="22">
        <f>IF(B231="","",D231-E231)</f>
        <v/>
      </c>
      <c r="G231" s="32">
        <f>IF(B231="","",DATE(YEAR(B231),MONTH(B231),1))</f>
        <v/>
      </c>
      <c r="H231" s="22">
        <f>IF(B231="","",COUNTIFS(Eventos!$D$8:$D$47,"&lt;="&amp;B231,Eventos!$M$8:$M$47,"&gt;="&amp;B231))</f>
        <v/>
      </c>
    </row>
    <row r="232">
      <c r="B232" s="19">
        <f>IF(Meses!$C$8+224&gt;=EDATE(Meses!$C$8,10),"",Meses!$C$8+224)</f>
        <v/>
      </c>
      <c r="C232" s="21">
        <f>IF(B232="","",MID("LunMarMiéJueVieSábDom",(WEEKDAY(B232,2)-1)*3+1,3))</f>
        <v/>
      </c>
      <c r="D232" s="22">
        <f>IF(B232="","",IF(AND(WEEKDAY(B232,2)&lt;=5,B232&gt;=Panel!$E$5,B232&lt;=Panel!$G$5),1,0))</f>
        <v/>
      </c>
      <c r="E232" s="22">
        <f>IF(B232="","",IF(D232=1,IF(COUNTIFS(Eventos!$D$8:$D$47,"&lt;="&amp;B232,Eventos!$M$8:$M$47,"&gt;="&amp;B232,Eventos!$I$8:$I$47,"Sí")&gt;0,1,0),0))</f>
        <v/>
      </c>
      <c r="F232" s="22">
        <f>IF(B232="","",D232-E232)</f>
        <v/>
      </c>
      <c r="G232" s="32">
        <f>IF(B232="","",DATE(YEAR(B232),MONTH(B232),1))</f>
        <v/>
      </c>
      <c r="H232" s="22">
        <f>IF(B232="","",COUNTIFS(Eventos!$D$8:$D$47,"&lt;="&amp;B232,Eventos!$M$8:$M$47,"&gt;="&amp;B232))</f>
        <v/>
      </c>
    </row>
    <row r="233">
      <c r="B233" s="19">
        <f>IF(Meses!$C$8+225&gt;=EDATE(Meses!$C$8,10),"",Meses!$C$8+225)</f>
        <v/>
      </c>
      <c r="C233" s="21">
        <f>IF(B233="","",MID("LunMarMiéJueVieSábDom",(WEEKDAY(B233,2)-1)*3+1,3))</f>
        <v/>
      </c>
      <c r="D233" s="22">
        <f>IF(B233="","",IF(AND(WEEKDAY(B233,2)&lt;=5,B233&gt;=Panel!$E$5,B233&lt;=Panel!$G$5),1,0))</f>
        <v/>
      </c>
      <c r="E233" s="22">
        <f>IF(B233="","",IF(D233=1,IF(COUNTIFS(Eventos!$D$8:$D$47,"&lt;="&amp;B233,Eventos!$M$8:$M$47,"&gt;="&amp;B233,Eventos!$I$8:$I$47,"Sí")&gt;0,1,0),0))</f>
        <v/>
      </c>
      <c r="F233" s="22">
        <f>IF(B233="","",D233-E233)</f>
        <v/>
      </c>
      <c r="G233" s="32">
        <f>IF(B233="","",DATE(YEAR(B233),MONTH(B233),1))</f>
        <v/>
      </c>
      <c r="H233" s="22">
        <f>IF(B233="","",COUNTIFS(Eventos!$D$8:$D$47,"&lt;="&amp;B233,Eventos!$M$8:$M$47,"&gt;="&amp;B233))</f>
        <v/>
      </c>
    </row>
    <row r="234">
      <c r="B234" s="19">
        <f>IF(Meses!$C$8+226&gt;=EDATE(Meses!$C$8,10),"",Meses!$C$8+226)</f>
        <v/>
      </c>
      <c r="C234" s="21">
        <f>IF(B234="","",MID("LunMarMiéJueVieSábDom",(WEEKDAY(B234,2)-1)*3+1,3))</f>
        <v/>
      </c>
      <c r="D234" s="22">
        <f>IF(B234="","",IF(AND(WEEKDAY(B234,2)&lt;=5,B234&gt;=Panel!$E$5,B234&lt;=Panel!$G$5),1,0))</f>
        <v/>
      </c>
      <c r="E234" s="22">
        <f>IF(B234="","",IF(D234=1,IF(COUNTIFS(Eventos!$D$8:$D$47,"&lt;="&amp;B234,Eventos!$M$8:$M$47,"&gt;="&amp;B234,Eventos!$I$8:$I$47,"Sí")&gt;0,1,0),0))</f>
        <v/>
      </c>
      <c r="F234" s="22">
        <f>IF(B234="","",D234-E234)</f>
        <v/>
      </c>
      <c r="G234" s="32">
        <f>IF(B234="","",DATE(YEAR(B234),MONTH(B234),1))</f>
        <v/>
      </c>
      <c r="H234" s="22">
        <f>IF(B234="","",COUNTIFS(Eventos!$D$8:$D$47,"&lt;="&amp;B234,Eventos!$M$8:$M$47,"&gt;="&amp;B234))</f>
        <v/>
      </c>
    </row>
    <row r="235">
      <c r="B235" s="19">
        <f>IF(Meses!$C$8+227&gt;=EDATE(Meses!$C$8,10),"",Meses!$C$8+227)</f>
        <v/>
      </c>
      <c r="C235" s="21">
        <f>IF(B235="","",MID("LunMarMiéJueVieSábDom",(WEEKDAY(B235,2)-1)*3+1,3))</f>
        <v/>
      </c>
      <c r="D235" s="22">
        <f>IF(B235="","",IF(AND(WEEKDAY(B235,2)&lt;=5,B235&gt;=Panel!$E$5,B235&lt;=Panel!$G$5),1,0))</f>
        <v/>
      </c>
      <c r="E235" s="22">
        <f>IF(B235="","",IF(D235=1,IF(COUNTIFS(Eventos!$D$8:$D$47,"&lt;="&amp;B235,Eventos!$M$8:$M$47,"&gt;="&amp;B235,Eventos!$I$8:$I$47,"Sí")&gt;0,1,0),0))</f>
        <v/>
      </c>
      <c r="F235" s="22">
        <f>IF(B235="","",D235-E235)</f>
        <v/>
      </c>
      <c r="G235" s="32">
        <f>IF(B235="","",DATE(YEAR(B235),MONTH(B235),1))</f>
        <v/>
      </c>
      <c r="H235" s="22">
        <f>IF(B235="","",COUNTIFS(Eventos!$D$8:$D$47,"&lt;="&amp;B235,Eventos!$M$8:$M$47,"&gt;="&amp;B235))</f>
        <v/>
      </c>
    </row>
    <row r="236">
      <c r="B236" s="19">
        <f>IF(Meses!$C$8+228&gt;=EDATE(Meses!$C$8,10),"",Meses!$C$8+228)</f>
        <v/>
      </c>
      <c r="C236" s="21">
        <f>IF(B236="","",MID("LunMarMiéJueVieSábDom",(WEEKDAY(B236,2)-1)*3+1,3))</f>
        <v/>
      </c>
      <c r="D236" s="22">
        <f>IF(B236="","",IF(AND(WEEKDAY(B236,2)&lt;=5,B236&gt;=Panel!$E$5,B236&lt;=Panel!$G$5),1,0))</f>
        <v/>
      </c>
      <c r="E236" s="22">
        <f>IF(B236="","",IF(D236=1,IF(COUNTIFS(Eventos!$D$8:$D$47,"&lt;="&amp;B236,Eventos!$M$8:$M$47,"&gt;="&amp;B236,Eventos!$I$8:$I$47,"Sí")&gt;0,1,0),0))</f>
        <v/>
      </c>
      <c r="F236" s="22">
        <f>IF(B236="","",D236-E236)</f>
        <v/>
      </c>
      <c r="G236" s="32">
        <f>IF(B236="","",DATE(YEAR(B236),MONTH(B236),1))</f>
        <v/>
      </c>
      <c r="H236" s="22">
        <f>IF(B236="","",COUNTIFS(Eventos!$D$8:$D$47,"&lt;="&amp;B236,Eventos!$M$8:$M$47,"&gt;="&amp;B236))</f>
        <v/>
      </c>
    </row>
    <row r="237">
      <c r="B237" s="19">
        <f>IF(Meses!$C$8+229&gt;=EDATE(Meses!$C$8,10),"",Meses!$C$8+229)</f>
        <v/>
      </c>
      <c r="C237" s="21">
        <f>IF(B237="","",MID("LunMarMiéJueVieSábDom",(WEEKDAY(B237,2)-1)*3+1,3))</f>
        <v/>
      </c>
      <c r="D237" s="22">
        <f>IF(B237="","",IF(AND(WEEKDAY(B237,2)&lt;=5,B237&gt;=Panel!$E$5,B237&lt;=Panel!$G$5),1,0))</f>
        <v/>
      </c>
      <c r="E237" s="22">
        <f>IF(B237="","",IF(D237=1,IF(COUNTIFS(Eventos!$D$8:$D$47,"&lt;="&amp;B237,Eventos!$M$8:$M$47,"&gt;="&amp;B237,Eventos!$I$8:$I$47,"Sí")&gt;0,1,0),0))</f>
        <v/>
      </c>
      <c r="F237" s="22">
        <f>IF(B237="","",D237-E237)</f>
        <v/>
      </c>
      <c r="G237" s="32">
        <f>IF(B237="","",DATE(YEAR(B237),MONTH(B237),1))</f>
        <v/>
      </c>
      <c r="H237" s="22">
        <f>IF(B237="","",COUNTIFS(Eventos!$D$8:$D$47,"&lt;="&amp;B237,Eventos!$M$8:$M$47,"&gt;="&amp;B237))</f>
        <v/>
      </c>
    </row>
    <row r="238">
      <c r="B238" s="19">
        <f>IF(Meses!$C$8+230&gt;=EDATE(Meses!$C$8,10),"",Meses!$C$8+230)</f>
        <v/>
      </c>
      <c r="C238" s="21">
        <f>IF(B238="","",MID("LunMarMiéJueVieSábDom",(WEEKDAY(B238,2)-1)*3+1,3))</f>
        <v/>
      </c>
      <c r="D238" s="22">
        <f>IF(B238="","",IF(AND(WEEKDAY(B238,2)&lt;=5,B238&gt;=Panel!$E$5,B238&lt;=Panel!$G$5),1,0))</f>
        <v/>
      </c>
      <c r="E238" s="22">
        <f>IF(B238="","",IF(D238=1,IF(COUNTIFS(Eventos!$D$8:$D$47,"&lt;="&amp;B238,Eventos!$M$8:$M$47,"&gt;="&amp;B238,Eventos!$I$8:$I$47,"Sí")&gt;0,1,0),0))</f>
        <v/>
      </c>
      <c r="F238" s="22">
        <f>IF(B238="","",D238-E238)</f>
        <v/>
      </c>
      <c r="G238" s="32">
        <f>IF(B238="","",DATE(YEAR(B238),MONTH(B238),1))</f>
        <v/>
      </c>
      <c r="H238" s="22">
        <f>IF(B238="","",COUNTIFS(Eventos!$D$8:$D$47,"&lt;="&amp;B238,Eventos!$M$8:$M$47,"&gt;="&amp;B238))</f>
        <v/>
      </c>
    </row>
    <row r="239">
      <c r="B239" s="19">
        <f>IF(Meses!$C$8+231&gt;=EDATE(Meses!$C$8,10),"",Meses!$C$8+231)</f>
        <v/>
      </c>
      <c r="C239" s="21">
        <f>IF(B239="","",MID("LunMarMiéJueVieSábDom",(WEEKDAY(B239,2)-1)*3+1,3))</f>
        <v/>
      </c>
      <c r="D239" s="22">
        <f>IF(B239="","",IF(AND(WEEKDAY(B239,2)&lt;=5,B239&gt;=Panel!$E$5,B239&lt;=Panel!$G$5),1,0))</f>
        <v/>
      </c>
      <c r="E239" s="22">
        <f>IF(B239="","",IF(D239=1,IF(COUNTIFS(Eventos!$D$8:$D$47,"&lt;="&amp;B239,Eventos!$M$8:$M$47,"&gt;="&amp;B239,Eventos!$I$8:$I$47,"Sí")&gt;0,1,0),0))</f>
        <v/>
      </c>
      <c r="F239" s="22">
        <f>IF(B239="","",D239-E239)</f>
        <v/>
      </c>
      <c r="G239" s="32">
        <f>IF(B239="","",DATE(YEAR(B239),MONTH(B239),1))</f>
        <v/>
      </c>
      <c r="H239" s="22">
        <f>IF(B239="","",COUNTIFS(Eventos!$D$8:$D$47,"&lt;="&amp;B239,Eventos!$M$8:$M$47,"&gt;="&amp;B239))</f>
        <v/>
      </c>
    </row>
    <row r="240">
      <c r="B240" s="19">
        <f>IF(Meses!$C$8+232&gt;=EDATE(Meses!$C$8,10),"",Meses!$C$8+232)</f>
        <v/>
      </c>
      <c r="C240" s="21">
        <f>IF(B240="","",MID("LunMarMiéJueVieSábDom",(WEEKDAY(B240,2)-1)*3+1,3))</f>
        <v/>
      </c>
      <c r="D240" s="22">
        <f>IF(B240="","",IF(AND(WEEKDAY(B240,2)&lt;=5,B240&gt;=Panel!$E$5,B240&lt;=Panel!$G$5),1,0))</f>
        <v/>
      </c>
      <c r="E240" s="22">
        <f>IF(B240="","",IF(D240=1,IF(COUNTIFS(Eventos!$D$8:$D$47,"&lt;="&amp;B240,Eventos!$M$8:$M$47,"&gt;="&amp;B240,Eventos!$I$8:$I$47,"Sí")&gt;0,1,0),0))</f>
        <v/>
      </c>
      <c r="F240" s="22">
        <f>IF(B240="","",D240-E240)</f>
        <v/>
      </c>
      <c r="G240" s="32">
        <f>IF(B240="","",DATE(YEAR(B240),MONTH(B240),1))</f>
        <v/>
      </c>
      <c r="H240" s="22">
        <f>IF(B240="","",COUNTIFS(Eventos!$D$8:$D$47,"&lt;="&amp;B240,Eventos!$M$8:$M$47,"&gt;="&amp;B240))</f>
        <v/>
      </c>
    </row>
    <row r="241">
      <c r="B241" s="19">
        <f>IF(Meses!$C$8+233&gt;=EDATE(Meses!$C$8,10),"",Meses!$C$8+233)</f>
        <v/>
      </c>
      <c r="C241" s="21">
        <f>IF(B241="","",MID("LunMarMiéJueVieSábDom",(WEEKDAY(B241,2)-1)*3+1,3))</f>
        <v/>
      </c>
      <c r="D241" s="22">
        <f>IF(B241="","",IF(AND(WEEKDAY(B241,2)&lt;=5,B241&gt;=Panel!$E$5,B241&lt;=Panel!$G$5),1,0))</f>
        <v/>
      </c>
      <c r="E241" s="22">
        <f>IF(B241="","",IF(D241=1,IF(COUNTIFS(Eventos!$D$8:$D$47,"&lt;="&amp;B241,Eventos!$M$8:$M$47,"&gt;="&amp;B241,Eventos!$I$8:$I$47,"Sí")&gt;0,1,0),0))</f>
        <v/>
      </c>
      <c r="F241" s="22">
        <f>IF(B241="","",D241-E241)</f>
        <v/>
      </c>
      <c r="G241" s="32">
        <f>IF(B241="","",DATE(YEAR(B241),MONTH(B241),1))</f>
        <v/>
      </c>
      <c r="H241" s="22">
        <f>IF(B241="","",COUNTIFS(Eventos!$D$8:$D$47,"&lt;="&amp;B241,Eventos!$M$8:$M$47,"&gt;="&amp;B241))</f>
        <v/>
      </c>
    </row>
    <row r="242">
      <c r="B242" s="19">
        <f>IF(Meses!$C$8+234&gt;=EDATE(Meses!$C$8,10),"",Meses!$C$8+234)</f>
        <v/>
      </c>
      <c r="C242" s="21">
        <f>IF(B242="","",MID("LunMarMiéJueVieSábDom",(WEEKDAY(B242,2)-1)*3+1,3))</f>
        <v/>
      </c>
      <c r="D242" s="22">
        <f>IF(B242="","",IF(AND(WEEKDAY(B242,2)&lt;=5,B242&gt;=Panel!$E$5,B242&lt;=Panel!$G$5),1,0))</f>
        <v/>
      </c>
      <c r="E242" s="22">
        <f>IF(B242="","",IF(D242=1,IF(COUNTIFS(Eventos!$D$8:$D$47,"&lt;="&amp;B242,Eventos!$M$8:$M$47,"&gt;="&amp;B242,Eventos!$I$8:$I$47,"Sí")&gt;0,1,0),0))</f>
        <v/>
      </c>
      <c r="F242" s="22">
        <f>IF(B242="","",D242-E242)</f>
        <v/>
      </c>
      <c r="G242" s="32">
        <f>IF(B242="","",DATE(YEAR(B242),MONTH(B242),1))</f>
        <v/>
      </c>
      <c r="H242" s="22">
        <f>IF(B242="","",COUNTIFS(Eventos!$D$8:$D$47,"&lt;="&amp;B242,Eventos!$M$8:$M$47,"&gt;="&amp;B242))</f>
        <v/>
      </c>
    </row>
    <row r="243">
      <c r="B243" s="19">
        <f>IF(Meses!$C$8+235&gt;=EDATE(Meses!$C$8,10),"",Meses!$C$8+235)</f>
        <v/>
      </c>
      <c r="C243" s="21">
        <f>IF(B243="","",MID("LunMarMiéJueVieSábDom",(WEEKDAY(B243,2)-1)*3+1,3))</f>
        <v/>
      </c>
      <c r="D243" s="22">
        <f>IF(B243="","",IF(AND(WEEKDAY(B243,2)&lt;=5,B243&gt;=Panel!$E$5,B243&lt;=Panel!$G$5),1,0))</f>
        <v/>
      </c>
      <c r="E243" s="22">
        <f>IF(B243="","",IF(D243=1,IF(COUNTIFS(Eventos!$D$8:$D$47,"&lt;="&amp;B243,Eventos!$M$8:$M$47,"&gt;="&amp;B243,Eventos!$I$8:$I$47,"Sí")&gt;0,1,0),0))</f>
        <v/>
      </c>
      <c r="F243" s="22">
        <f>IF(B243="","",D243-E243)</f>
        <v/>
      </c>
      <c r="G243" s="32">
        <f>IF(B243="","",DATE(YEAR(B243),MONTH(B243),1))</f>
        <v/>
      </c>
      <c r="H243" s="22">
        <f>IF(B243="","",COUNTIFS(Eventos!$D$8:$D$47,"&lt;="&amp;B243,Eventos!$M$8:$M$47,"&gt;="&amp;B243))</f>
        <v/>
      </c>
    </row>
    <row r="244">
      <c r="B244" s="19">
        <f>IF(Meses!$C$8+236&gt;=EDATE(Meses!$C$8,10),"",Meses!$C$8+236)</f>
        <v/>
      </c>
      <c r="C244" s="21">
        <f>IF(B244="","",MID("LunMarMiéJueVieSábDom",(WEEKDAY(B244,2)-1)*3+1,3))</f>
        <v/>
      </c>
      <c r="D244" s="22">
        <f>IF(B244="","",IF(AND(WEEKDAY(B244,2)&lt;=5,B244&gt;=Panel!$E$5,B244&lt;=Panel!$G$5),1,0))</f>
        <v/>
      </c>
      <c r="E244" s="22">
        <f>IF(B244="","",IF(D244=1,IF(COUNTIFS(Eventos!$D$8:$D$47,"&lt;="&amp;B244,Eventos!$M$8:$M$47,"&gt;="&amp;B244,Eventos!$I$8:$I$47,"Sí")&gt;0,1,0),0))</f>
        <v/>
      </c>
      <c r="F244" s="22">
        <f>IF(B244="","",D244-E244)</f>
        <v/>
      </c>
      <c r="G244" s="32">
        <f>IF(B244="","",DATE(YEAR(B244),MONTH(B244),1))</f>
        <v/>
      </c>
      <c r="H244" s="22">
        <f>IF(B244="","",COUNTIFS(Eventos!$D$8:$D$47,"&lt;="&amp;B244,Eventos!$M$8:$M$47,"&gt;="&amp;B244))</f>
        <v/>
      </c>
    </row>
    <row r="245">
      <c r="B245" s="19">
        <f>IF(Meses!$C$8+237&gt;=EDATE(Meses!$C$8,10),"",Meses!$C$8+237)</f>
        <v/>
      </c>
      <c r="C245" s="21">
        <f>IF(B245="","",MID("LunMarMiéJueVieSábDom",(WEEKDAY(B245,2)-1)*3+1,3))</f>
        <v/>
      </c>
      <c r="D245" s="22">
        <f>IF(B245="","",IF(AND(WEEKDAY(B245,2)&lt;=5,B245&gt;=Panel!$E$5,B245&lt;=Panel!$G$5),1,0))</f>
        <v/>
      </c>
      <c r="E245" s="22">
        <f>IF(B245="","",IF(D245=1,IF(COUNTIFS(Eventos!$D$8:$D$47,"&lt;="&amp;B245,Eventos!$M$8:$M$47,"&gt;="&amp;B245,Eventos!$I$8:$I$47,"Sí")&gt;0,1,0),0))</f>
        <v/>
      </c>
      <c r="F245" s="22">
        <f>IF(B245="","",D245-E245)</f>
        <v/>
      </c>
      <c r="G245" s="32">
        <f>IF(B245="","",DATE(YEAR(B245),MONTH(B245),1))</f>
        <v/>
      </c>
      <c r="H245" s="22">
        <f>IF(B245="","",COUNTIFS(Eventos!$D$8:$D$47,"&lt;="&amp;B245,Eventos!$M$8:$M$47,"&gt;="&amp;B245))</f>
        <v/>
      </c>
    </row>
    <row r="246">
      <c r="B246" s="19">
        <f>IF(Meses!$C$8+238&gt;=EDATE(Meses!$C$8,10),"",Meses!$C$8+238)</f>
        <v/>
      </c>
      <c r="C246" s="21">
        <f>IF(B246="","",MID("LunMarMiéJueVieSábDom",(WEEKDAY(B246,2)-1)*3+1,3))</f>
        <v/>
      </c>
      <c r="D246" s="22">
        <f>IF(B246="","",IF(AND(WEEKDAY(B246,2)&lt;=5,B246&gt;=Panel!$E$5,B246&lt;=Panel!$G$5),1,0))</f>
        <v/>
      </c>
      <c r="E246" s="22">
        <f>IF(B246="","",IF(D246=1,IF(COUNTIFS(Eventos!$D$8:$D$47,"&lt;="&amp;B246,Eventos!$M$8:$M$47,"&gt;="&amp;B246,Eventos!$I$8:$I$47,"Sí")&gt;0,1,0),0))</f>
        <v/>
      </c>
      <c r="F246" s="22">
        <f>IF(B246="","",D246-E246)</f>
        <v/>
      </c>
      <c r="G246" s="32">
        <f>IF(B246="","",DATE(YEAR(B246),MONTH(B246),1))</f>
        <v/>
      </c>
      <c r="H246" s="22">
        <f>IF(B246="","",COUNTIFS(Eventos!$D$8:$D$47,"&lt;="&amp;B246,Eventos!$M$8:$M$47,"&gt;="&amp;B246))</f>
        <v/>
      </c>
    </row>
    <row r="247">
      <c r="B247" s="19">
        <f>IF(Meses!$C$8+239&gt;=EDATE(Meses!$C$8,10),"",Meses!$C$8+239)</f>
        <v/>
      </c>
      <c r="C247" s="21">
        <f>IF(B247="","",MID("LunMarMiéJueVieSábDom",(WEEKDAY(B247,2)-1)*3+1,3))</f>
        <v/>
      </c>
      <c r="D247" s="22">
        <f>IF(B247="","",IF(AND(WEEKDAY(B247,2)&lt;=5,B247&gt;=Panel!$E$5,B247&lt;=Panel!$G$5),1,0))</f>
        <v/>
      </c>
      <c r="E247" s="22">
        <f>IF(B247="","",IF(D247=1,IF(COUNTIFS(Eventos!$D$8:$D$47,"&lt;="&amp;B247,Eventos!$M$8:$M$47,"&gt;="&amp;B247,Eventos!$I$8:$I$47,"Sí")&gt;0,1,0),0))</f>
        <v/>
      </c>
      <c r="F247" s="22">
        <f>IF(B247="","",D247-E247)</f>
        <v/>
      </c>
      <c r="G247" s="32">
        <f>IF(B247="","",DATE(YEAR(B247),MONTH(B247),1))</f>
        <v/>
      </c>
      <c r="H247" s="22">
        <f>IF(B247="","",COUNTIFS(Eventos!$D$8:$D$47,"&lt;="&amp;B247,Eventos!$M$8:$M$47,"&gt;="&amp;B247))</f>
        <v/>
      </c>
    </row>
    <row r="248">
      <c r="B248" s="19">
        <f>IF(Meses!$C$8+240&gt;=EDATE(Meses!$C$8,10),"",Meses!$C$8+240)</f>
        <v/>
      </c>
      <c r="C248" s="21">
        <f>IF(B248="","",MID("LunMarMiéJueVieSábDom",(WEEKDAY(B248,2)-1)*3+1,3))</f>
        <v/>
      </c>
      <c r="D248" s="22">
        <f>IF(B248="","",IF(AND(WEEKDAY(B248,2)&lt;=5,B248&gt;=Panel!$E$5,B248&lt;=Panel!$G$5),1,0))</f>
        <v/>
      </c>
      <c r="E248" s="22">
        <f>IF(B248="","",IF(D248=1,IF(COUNTIFS(Eventos!$D$8:$D$47,"&lt;="&amp;B248,Eventos!$M$8:$M$47,"&gt;="&amp;B248,Eventos!$I$8:$I$47,"Sí")&gt;0,1,0),0))</f>
        <v/>
      </c>
      <c r="F248" s="22">
        <f>IF(B248="","",D248-E248)</f>
        <v/>
      </c>
      <c r="G248" s="32">
        <f>IF(B248="","",DATE(YEAR(B248),MONTH(B248),1))</f>
        <v/>
      </c>
      <c r="H248" s="22">
        <f>IF(B248="","",COUNTIFS(Eventos!$D$8:$D$47,"&lt;="&amp;B248,Eventos!$M$8:$M$47,"&gt;="&amp;B248))</f>
        <v/>
      </c>
    </row>
    <row r="249">
      <c r="B249" s="19">
        <f>IF(Meses!$C$8+241&gt;=EDATE(Meses!$C$8,10),"",Meses!$C$8+241)</f>
        <v/>
      </c>
      <c r="C249" s="21">
        <f>IF(B249="","",MID("LunMarMiéJueVieSábDom",(WEEKDAY(B249,2)-1)*3+1,3))</f>
        <v/>
      </c>
      <c r="D249" s="22">
        <f>IF(B249="","",IF(AND(WEEKDAY(B249,2)&lt;=5,B249&gt;=Panel!$E$5,B249&lt;=Panel!$G$5),1,0))</f>
        <v/>
      </c>
      <c r="E249" s="22">
        <f>IF(B249="","",IF(D249=1,IF(COUNTIFS(Eventos!$D$8:$D$47,"&lt;="&amp;B249,Eventos!$M$8:$M$47,"&gt;="&amp;B249,Eventos!$I$8:$I$47,"Sí")&gt;0,1,0),0))</f>
        <v/>
      </c>
      <c r="F249" s="22">
        <f>IF(B249="","",D249-E249)</f>
        <v/>
      </c>
      <c r="G249" s="32">
        <f>IF(B249="","",DATE(YEAR(B249),MONTH(B249),1))</f>
        <v/>
      </c>
      <c r="H249" s="22">
        <f>IF(B249="","",COUNTIFS(Eventos!$D$8:$D$47,"&lt;="&amp;B249,Eventos!$M$8:$M$47,"&gt;="&amp;B249))</f>
        <v/>
      </c>
    </row>
    <row r="250">
      <c r="B250" s="19">
        <f>IF(Meses!$C$8+242&gt;=EDATE(Meses!$C$8,10),"",Meses!$C$8+242)</f>
        <v/>
      </c>
      <c r="C250" s="21">
        <f>IF(B250="","",MID("LunMarMiéJueVieSábDom",(WEEKDAY(B250,2)-1)*3+1,3))</f>
        <v/>
      </c>
      <c r="D250" s="22">
        <f>IF(B250="","",IF(AND(WEEKDAY(B250,2)&lt;=5,B250&gt;=Panel!$E$5,B250&lt;=Panel!$G$5),1,0))</f>
        <v/>
      </c>
      <c r="E250" s="22">
        <f>IF(B250="","",IF(D250=1,IF(COUNTIFS(Eventos!$D$8:$D$47,"&lt;="&amp;B250,Eventos!$M$8:$M$47,"&gt;="&amp;B250,Eventos!$I$8:$I$47,"Sí")&gt;0,1,0),0))</f>
        <v/>
      </c>
      <c r="F250" s="22">
        <f>IF(B250="","",D250-E250)</f>
        <v/>
      </c>
      <c r="G250" s="32">
        <f>IF(B250="","",DATE(YEAR(B250),MONTH(B250),1))</f>
        <v/>
      </c>
      <c r="H250" s="22">
        <f>IF(B250="","",COUNTIFS(Eventos!$D$8:$D$47,"&lt;="&amp;B250,Eventos!$M$8:$M$47,"&gt;="&amp;B250))</f>
        <v/>
      </c>
    </row>
    <row r="251">
      <c r="B251" s="19">
        <f>IF(Meses!$C$8+243&gt;=EDATE(Meses!$C$8,10),"",Meses!$C$8+243)</f>
        <v/>
      </c>
      <c r="C251" s="21">
        <f>IF(B251="","",MID("LunMarMiéJueVieSábDom",(WEEKDAY(B251,2)-1)*3+1,3))</f>
        <v/>
      </c>
      <c r="D251" s="22">
        <f>IF(B251="","",IF(AND(WEEKDAY(B251,2)&lt;=5,B251&gt;=Panel!$E$5,B251&lt;=Panel!$G$5),1,0))</f>
        <v/>
      </c>
      <c r="E251" s="22">
        <f>IF(B251="","",IF(D251=1,IF(COUNTIFS(Eventos!$D$8:$D$47,"&lt;="&amp;B251,Eventos!$M$8:$M$47,"&gt;="&amp;B251,Eventos!$I$8:$I$47,"Sí")&gt;0,1,0),0))</f>
        <v/>
      </c>
      <c r="F251" s="22">
        <f>IF(B251="","",D251-E251)</f>
        <v/>
      </c>
      <c r="G251" s="32">
        <f>IF(B251="","",DATE(YEAR(B251),MONTH(B251),1))</f>
        <v/>
      </c>
      <c r="H251" s="22">
        <f>IF(B251="","",COUNTIFS(Eventos!$D$8:$D$47,"&lt;="&amp;B251,Eventos!$M$8:$M$47,"&gt;="&amp;B251))</f>
        <v/>
      </c>
    </row>
    <row r="252">
      <c r="B252" s="19">
        <f>IF(Meses!$C$8+244&gt;=EDATE(Meses!$C$8,10),"",Meses!$C$8+244)</f>
        <v/>
      </c>
      <c r="C252" s="21">
        <f>IF(B252="","",MID("LunMarMiéJueVieSábDom",(WEEKDAY(B252,2)-1)*3+1,3))</f>
        <v/>
      </c>
      <c r="D252" s="22">
        <f>IF(B252="","",IF(AND(WEEKDAY(B252,2)&lt;=5,B252&gt;=Panel!$E$5,B252&lt;=Panel!$G$5),1,0))</f>
        <v/>
      </c>
      <c r="E252" s="22">
        <f>IF(B252="","",IF(D252=1,IF(COUNTIFS(Eventos!$D$8:$D$47,"&lt;="&amp;B252,Eventos!$M$8:$M$47,"&gt;="&amp;B252,Eventos!$I$8:$I$47,"Sí")&gt;0,1,0),0))</f>
        <v/>
      </c>
      <c r="F252" s="22">
        <f>IF(B252="","",D252-E252)</f>
        <v/>
      </c>
      <c r="G252" s="32">
        <f>IF(B252="","",DATE(YEAR(B252),MONTH(B252),1))</f>
        <v/>
      </c>
      <c r="H252" s="22">
        <f>IF(B252="","",COUNTIFS(Eventos!$D$8:$D$47,"&lt;="&amp;B252,Eventos!$M$8:$M$47,"&gt;="&amp;B252))</f>
        <v/>
      </c>
    </row>
    <row r="253">
      <c r="B253" s="19">
        <f>IF(Meses!$C$8+245&gt;=EDATE(Meses!$C$8,10),"",Meses!$C$8+245)</f>
        <v/>
      </c>
      <c r="C253" s="21">
        <f>IF(B253="","",MID("LunMarMiéJueVieSábDom",(WEEKDAY(B253,2)-1)*3+1,3))</f>
        <v/>
      </c>
      <c r="D253" s="22">
        <f>IF(B253="","",IF(AND(WEEKDAY(B253,2)&lt;=5,B253&gt;=Panel!$E$5,B253&lt;=Panel!$G$5),1,0))</f>
        <v/>
      </c>
      <c r="E253" s="22">
        <f>IF(B253="","",IF(D253=1,IF(COUNTIFS(Eventos!$D$8:$D$47,"&lt;="&amp;B253,Eventos!$M$8:$M$47,"&gt;="&amp;B253,Eventos!$I$8:$I$47,"Sí")&gt;0,1,0),0))</f>
        <v/>
      </c>
      <c r="F253" s="22">
        <f>IF(B253="","",D253-E253)</f>
        <v/>
      </c>
      <c r="G253" s="32">
        <f>IF(B253="","",DATE(YEAR(B253),MONTH(B253),1))</f>
        <v/>
      </c>
      <c r="H253" s="22">
        <f>IF(B253="","",COUNTIFS(Eventos!$D$8:$D$47,"&lt;="&amp;B253,Eventos!$M$8:$M$47,"&gt;="&amp;B253))</f>
        <v/>
      </c>
    </row>
    <row r="254">
      <c r="B254" s="19">
        <f>IF(Meses!$C$8+246&gt;=EDATE(Meses!$C$8,10),"",Meses!$C$8+246)</f>
        <v/>
      </c>
      <c r="C254" s="21">
        <f>IF(B254="","",MID("LunMarMiéJueVieSábDom",(WEEKDAY(B254,2)-1)*3+1,3))</f>
        <v/>
      </c>
      <c r="D254" s="22">
        <f>IF(B254="","",IF(AND(WEEKDAY(B254,2)&lt;=5,B254&gt;=Panel!$E$5,B254&lt;=Panel!$G$5),1,0))</f>
        <v/>
      </c>
      <c r="E254" s="22">
        <f>IF(B254="","",IF(D254=1,IF(COUNTIFS(Eventos!$D$8:$D$47,"&lt;="&amp;B254,Eventos!$M$8:$M$47,"&gt;="&amp;B254,Eventos!$I$8:$I$47,"Sí")&gt;0,1,0),0))</f>
        <v/>
      </c>
      <c r="F254" s="22">
        <f>IF(B254="","",D254-E254)</f>
        <v/>
      </c>
      <c r="G254" s="32">
        <f>IF(B254="","",DATE(YEAR(B254),MONTH(B254),1))</f>
        <v/>
      </c>
      <c r="H254" s="22">
        <f>IF(B254="","",COUNTIFS(Eventos!$D$8:$D$47,"&lt;="&amp;B254,Eventos!$M$8:$M$47,"&gt;="&amp;B254))</f>
        <v/>
      </c>
    </row>
    <row r="255">
      <c r="B255" s="19">
        <f>IF(Meses!$C$8+247&gt;=EDATE(Meses!$C$8,10),"",Meses!$C$8+247)</f>
        <v/>
      </c>
      <c r="C255" s="21">
        <f>IF(B255="","",MID("LunMarMiéJueVieSábDom",(WEEKDAY(B255,2)-1)*3+1,3))</f>
        <v/>
      </c>
      <c r="D255" s="22">
        <f>IF(B255="","",IF(AND(WEEKDAY(B255,2)&lt;=5,B255&gt;=Panel!$E$5,B255&lt;=Panel!$G$5),1,0))</f>
        <v/>
      </c>
      <c r="E255" s="22">
        <f>IF(B255="","",IF(D255=1,IF(COUNTIFS(Eventos!$D$8:$D$47,"&lt;="&amp;B255,Eventos!$M$8:$M$47,"&gt;="&amp;B255,Eventos!$I$8:$I$47,"Sí")&gt;0,1,0),0))</f>
        <v/>
      </c>
      <c r="F255" s="22">
        <f>IF(B255="","",D255-E255)</f>
        <v/>
      </c>
      <c r="G255" s="32">
        <f>IF(B255="","",DATE(YEAR(B255),MONTH(B255),1))</f>
        <v/>
      </c>
      <c r="H255" s="22">
        <f>IF(B255="","",COUNTIFS(Eventos!$D$8:$D$47,"&lt;="&amp;B255,Eventos!$M$8:$M$47,"&gt;="&amp;B255))</f>
        <v/>
      </c>
    </row>
    <row r="256">
      <c r="B256" s="19">
        <f>IF(Meses!$C$8+248&gt;=EDATE(Meses!$C$8,10),"",Meses!$C$8+248)</f>
        <v/>
      </c>
      <c r="C256" s="21">
        <f>IF(B256="","",MID("LunMarMiéJueVieSábDom",(WEEKDAY(B256,2)-1)*3+1,3))</f>
        <v/>
      </c>
      <c r="D256" s="22">
        <f>IF(B256="","",IF(AND(WEEKDAY(B256,2)&lt;=5,B256&gt;=Panel!$E$5,B256&lt;=Panel!$G$5),1,0))</f>
        <v/>
      </c>
      <c r="E256" s="22">
        <f>IF(B256="","",IF(D256=1,IF(COUNTIFS(Eventos!$D$8:$D$47,"&lt;="&amp;B256,Eventos!$M$8:$M$47,"&gt;="&amp;B256,Eventos!$I$8:$I$47,"Sí")&gt;0,1,0),0))</f>
        <v/>
      </c>
      <c r="F256" s="22">
        <f>IF(B256="","",D256-E256)</f>
        <v/>
      </c>
      <c r="G256" s="32">
        <f>IF(B256="","",DATE(YEAR(B256),MONTH(B256),1))</f>
        <v/>
      </c>
      <c r="H256" s="22">
        <f>IF(B256="","",COUNTIFS(Eventos!$D$8:$D$47,"&lt;="&amp;B256,Eventos!$M$8:$M$47,"&gt;="&amp;B256))</f>
        <v/>
      </c>
    </row>
    <row r="257">
      <c r="B257" s="19">
        <f>IF(Meses!$C$8+249&gt;=EDATE(Meses!$C$8,10),"",Meses!$C$8+249)</f>
        <v/>
      </c>
      <c r="C257" s="21">
        <f>IF(B257="","",MID("LunMarMiéJueVieSábDom",(WEEKDAY(B257,2)-1)*3+1,3))</f>
        <v/>
      </c>
      <c r="D257" s="22">
        <f>IF(B257="","",IF(AND(WEEKDAY(B257,2)&lt;=5,B257&gt;=Panel!$E$5,B257&lt;=Panel!$G$5),1,0))</f>
        <v/>
      </c>
      <c r="E257" s="22">
        <f>IF(B257="","",IF(D257=1,IF(COUNTIFS(Eventos!$D$8:$D$47,"&lt;="&amp;B257,Eventos!$M$8:$M$47,"&gt;="&amp;B257,Eventos!$I$8:$I$47,"Sí")&gt;0,1,0),0))</f>
        <v/>
      </c>
      <c r="F257" s="22">
        <f>IF(B257="","",D257-E257)</f>
        <v/>
      </c>
      <c r="G257" s="32">
        <f>IF(B257="","",DATE(YEAR(B257),MONTH(B257),1))</f>
        <v/>
      </c>
      <c r="H257" s="22">
        <f>IF(B257="","",COUNTIFS(Eventos!$D$8:$D$47,"&lt;="&amp;B257,Eventos!$M$8:$M$47,"&gt;="&amp;B257))</f>
        <v/>
      </c>
    </row>
    <row r="258">
      <c r="B258" s="19">
        <f>IF(Meses!$C$8+250&gt;=EDATE(Meses!$C$8,10),"",Meses!$C$8+250)</f>
        <v/>
      </c>
      <c r="C258" s="21">
        <f>IF(B258="","",MID("LunMarMiéJueVieSábDom",(WEEKDAY(B258,2)-1)*3+1,3))</f>
        <v/>
      </c>
      <c r="D258" s="22">
        <f>IF(B258="","",IF(AND(WEEKDAY(B258,2)&lt;=5,B258&gt;=Panel!$E$5,B258&lt;=Panel!$G$5),1,0))</f>
        <v/>
      </c>
      <c r="E258" s="22">
        <f>IF(B258="","",IF(D258=1,IF(COUNTIFS(Eventos!$D$8:$D$47,"&lt;="&amp;B258,Eventos!$M$8:$M$47,"&gt;="&amp;B258,Eventos!$I$8:$I$47,"Sí")&gt;0,1,0),0))</f>
        <v/>
      </c>
      <c r="F258" s="22">
        <f>IF(B258="","",D258-E258)</f>
        <v/>
      </c>
      <c r="G258" s="32">
        <f>IF(B258="","",DATE(YEAR(B258),MONTH(B258),1))</f>
        <v/>
      </c>
      <c r="H258" s="22">
        <f>IF(B258="","",COUNTIFS(Eventos!$D$8:$D$47,"&lt;="&amp;B258,Eventos!$M$8:$M$47,"&gt;="&amp;B258))</f>
        <v/>
      </c>
    </row>
    <row r="259">
      <c r="B259" s="19">
        <f>IF(Meses!$C$8+251&gt;=EDATE(Meses!$C$8,10),"",Meses!$C$8+251)</f>
        <v/>
      </c>
      <c r="C259" s="21">
        <f>IF(B259="","",MID("LunMarMiéJueVieSábDom",(WEEKDAY(B259,2)-1)*3+1,3))</f>
        <v/>
      </c>
      <c r="D259" s="22">
        <f>IF(B259="","",IF(AND(WEEKDAY(B259,2)&lt;=5,B259&gt;=Panel!$E$5,B259&lt;=Panel!$G$5),1,0))</f>
        <v/>
      </c>
      <c r="E259" s="22">
        <f>IF(B259="","",IF(D259=1,IF(COUNTIFS(Eventos!$D$8:$D$47,"&lt;="&amp;B259,Eventos!$M$8:$M$47,"&gt;="&amp;B259,Eventos!$I$8:$I$47,"Sí")&gt;0,1,0),0))</f>
        <v/>
      </c>
      <c r="F259" s="22">
        <f>IF(B259="","",D259-E259)</f>
        <v/>
      </c>
      <c r="G259" s="32">
        <f>IF(B259="","",DATE(YEAR(B259),MONTH(B259),1))</f>
        <v/>
      </c>
      <c r="H259" s="22">
        <f>IF(B259="","",COUNTIFS(Eventos!$D$8:$D$47,"&lt;="&amp;B259,Eventos!$M$8:$M$47,"&gt;="&amp;B259))</f>
        <v/>
      </c>
    </row>
    <row r="260">
      <c r="B260" s="19">
        <f>IF(Meses!$C$8+252&gt;=EDATE(Meses!$C$8,10),"",Meses!$C$8+252)</f>
        <v/>
      </c>
      <c r="C260" s="21">
        <f>IF(B260="","",MID("LunMarMiéJueVieSábDom",(WEEKDAY(B260,2)-1)*3+1,3))</f>
        <v/>
      </c>
      <c r="D260" s="22">
        <f>IF(B260="","",IF(AND(WEEKDAY(B260,2)&lt;=5,B260&gt;=Panel!$E$5,B260&lt;=Panel!$G$5),1,0))</f>
        <v/>
      </c>
      <c r="E260" s="22">
        <f>IF(B260="","",IF(D260=1,IF(COUNTIFS(Eventos!$D$8:$D$47,"&lt;="&amp;B260,Eventos!$M$8:$M$47,"&gt;="&amp;B260,Eventos!$I$8:$I$47,"Sí")&gt;0,1,0),0))</f>
        <v/>
      </c>
      <c r="F260" s="22">
        <f>IF(B260="","",D260-E260)</f>
        <v/>
      </c>
      <c r="G260" s="32">
        <f>IF(B260="","",DATE(YEAR(B260),MONTH(B260),1))</f>
        <v/>
      </c>
      <c r="H260" s="22">
        <f>IF(B260="","",COUNTIFS(Eventos!$D$8:$D$47,"&lt;="&amp;B260,Eventos!$M$8:$M$47,"&gt;="&amp;B260))</f>
        <v/>
      </c>
    </row>
    <row r="261">
      <c r="B261" s="19">
        <f>IF(Meses!$C$8+253&gt;=EDATE(Meses!$C$8,10),"",Meses!$C$8+253)</f>
        <v/>
      </c>
      <c r="C261" s="21">
        <f>IF(B261="","",MID("LunMarMiéJueVieSábDom",(WEEKDAY(B261,2)-1)*3+1,3))</f>
        <v/>
      </c>
      <c r="D261" s="22">
        <f>IF(B261="","",IF(AND(WEEKDAY(B261,2)&lt;=5,B261&gt;=Panel!$E$5,B261&lt;=Panel!$G$5),1,0))</f>
        <v/>
      </c>
      <c r="E261" s="22">
        <f>IF(B261="","",IF(D261=1,IF(COUNTIFS(Eventos!$D$8:$D$47,"&lt;="&amp;B261,Eventos!$M$8:$M$47,"&gt;="&amp;B261,Eventos!$I$8:$I$47,"Sí")&gt;0,1,0),0))</f>
        <v/>
      </c>
      <c r="F261" s="22">
        <f>IF(B261="","",D261-E261)</f>
        <v/>
      </c>
      <c r="G261" s="32">
        <f>IF(B261="","",DATE(YEAR(B261),MONTH(B261),1))</f>
        <v/>
      </c>
      <c r="H261" s="22">
        <f>IF(B261="","",COUNTIFS(Eventos!$D$8:$D$47,"&lt;="&amp;B261,Eventos!$M$8:$M$47,"&gt;="&amp;B261))</f>
        <v/>
      </c>
    </row>
    <row r="262">
      <c r="B262" s="19">
        <f>IF(Meses!$C$8+254&gt;=EDATE(Meses!$C$8,10),"",Meses!$C$8+254)</f>
        <v/>
      </c>
      <c r="C262" s="21">
        <f>IF(B262="","",MID("LunMarMiéJueVieSábDom",(WEEKDAY(B262,2)-1)*3+1,3))</f>
        <v/>
      </c>
      <c r="D262" s="22">
        <f>IF(B262="","",IF(AND(WEEKDAY(B262,2)&lt;=5,B262&gt;=Panel!$E$5,B262&lt;=Panel!$G$5),1,0))</f>
        <v/>
      </c>
      <c r="E262" s="22">
        <f>IF(B262="","",IF(D262=1,IF(COUNTIFS(Eventos!$D$8:$D$47,"&lt;="&amp;B262,Eventos!$M$8:$M$47,"&gt;="&amp;B262,Eventos!$I$8:$I$47,"Sí")&gt;0,1,0),0))</f>
        <v/>
      </c>
      <c r="F262" s="22">
        <f>IF(B262="","",D262-E262)</f>
        <v/>
      </c>
      <c r="G262" s="32">
        <f>IF(B262="","",DATE(YEAR(B262),MONTH(B262),1))</f>
        <v/>
      </c>
      <c r="H262" s="22">
        <f>IF(B262="","",COUNTIFS(Eventos!$D$8:$D$47,"&lt;="&amp;B262,Eventos!$M$8:$M$47,"&gt;="&amp;B262))</f>
        <v/>
      </c>
    </row>
    <row r="263">
      <c r="B263" s="19">
        <f>IF(Meses!$C$8+255&gt;=EDATE(Meses!$C$8,10),"",Meses!$C$8+255)</f>
        <v/>
      </c>
      <c r="C263" s="21">
        <f>IF(B263="","",MID("LunMarMiéJueVieSábDom",(WEEKDAY(B263,2)-1)*3+1,3))</f>
        <v/>
      </c>
      <c r="D263" s="22">
        <f>IF(B263="","",IF(AND(WEEKDAY(B263,2)&lt;=5,B263&gt;=Panel!$E$5,B263&lt;=Panel!$G$5),1,0))</f>
        <v/>
      </c>
      <c r="E263" s="22">
        <f>IF(B263="","",IF(D263=1,IF(COUNTIFS(Eventos!$D$8:$D$47,"&lt;="&amp;B263,Eventos!$M$8:$M$47,"&gt;="&amp;B263,Eventos!$I$8:$I$47,"Sí")&gt;0,1,0),0))</f>
        <v/>
      </c>
      <c r="F263" s="22">
        <f>IF(B263="","",D263-E263)</f>
        <v/>
      </c>
      <c r="G263" s="32">
        <f>IF(B263="","",DATE(YEAR(B263),MONTH(B263),1))</f>
        <v/>
      </c>
      <c r="H263" s="22">
        <f>IF(B263="","",COUNTIFS(Eventos!$D$8:$D$47,"&lt;="&amp;B263,Eventos!$M$8:$M$47,"&gt;="&amp;B263))</f>
        <v/>
      </c>
    </row>
    <row r="264">
      <c r="B264" s="19">
        <f>IF(Meses!$C$8+256&gt;=EDATE(Meses!$C$8,10),"",Meses!$C$8+256)</f>
        <v/>
      </c>
      <c r="C264" s="21">
        <f>IF(B264="","",MID("LunMarMiéJueVieSábDom",(WEEKDAY(B264,2)-1)*3+1,3))</f>
        <v/>
      </c>
      <c r="D264" s="22">
        <f>IF(B264="","",IF(AND(WEEKDAY(B264,2)&lt;=5,B264&gt;=Panel!$E$5,B264&lt;=Panel!$G$5),1,0))</f>
        <v/>
      </c>
      <c r="E264" s="22">
        <f>IF(B264="","",IF(D264=1,IF(COUNTIFS(Eventos!$D$8:$D$47,"&lt;="&amp;B264,Eventos!$M$8:$M$47,"&gt;="&amp;B264,Eventos!$I$8:$I$47,"Sí")&gt;0,1,0),0))</f>
        <v/>
      </c>
      <c r="F264" s="22">
        <f>IF(B264="","",D264-E264)</f>
        <v/>
      </c>
      <c r="G264" s="32">
        <f>IF(B264="","",DATE(YEAR(B264),MONTH(B264),1))</f>
        <v/>
      </c>
      <c r="H264" s="22">
        <f>IF(B264="","",COUNTIFS(Eventos!$D$8:$D$47,"&lt;="&amp;B264,Eventos!$M$8:$M$47,"&gt;="&amp;B264))</f>
        <v/>
      </c>
    </row>
    <row r="265">
      <c r="B265" s="19">
        <f>IF(Meses!$C$8+257&gt;=EDATE(Meses!$C$8,10),"",Meses!$C$8+257)</f>
        <v/>
      </c>
      <c r="C265" s="21">
        <f>IF(B265="","",MID("LunMarMiéJueVieSábDom",(WEEKDAY(B265,2)-1)*3+1,3))</f>
        <v/>
      </c>
      <c r="D265" s="22">
        <f>IF(B265="","",IF(AND(WEEKDAY(B265,2)&lt;=5,B265&gt;=Panel!$E$5,B265&lt;=Panel!$G$5),1,0))</f>
        <v/>
      </c>
      <c r="E265" s="22">
        <f>IF(B265="","",IF(D265=1,IF(COUNTIFS(Eventos!$D$8:$D$47,"&lt;="&amp;B265,Eventos!$M$8:$M$47,"&gt;="&amp;B265,Eventos!$I$8:$I$47,"Sí")&gt;0,1,0),0))</f>
        <v/>
      </c>
      <c r="F265" s="22">
        <f>IF(B265="","",D265-E265)</f>
        <v/>
      </c>
      <c r="G265" s="32">
        <f>IF(B265="","",DATE(YEAR(B265),MONTH(B265),1))</f>
        <v/>
      </c>
      <c r="H265" s="22">
        <f>IF(B265="","",COUNTIFS(Eventos!$D$8:$D$47,"&lt;="&amp;B265,Eventos!$M$8:$M$47,"&gt;="&amp;B265))</f>
        <v/>
      </c>
    </row>
    <row r="266">
      <c r="B266" s="19">
        <f>IF(Meses!$C$8+258&gt;=EDATE(Meses!$C$8,10),"",Meses!$C$8+258)</f>
        <v/>
      </c>
      <c r="C266" s="21">
        <f>IF(B266="","",MID("LunMarMiéJueVieSábDom",(WEEKDAY(B266,2)-1)*3+1,3))</f>
        <v/>
      </c>
      <c r="D266" s="22">
        <f>IF(B266="","",IF(AND(WEEKDAY(B266,2)&lt;=5,B266&gt;=Panel!$E$5,B266&lt;=Panel!$G$5),1,0))</f>
        <v/>
      </c>
      <c r="E266" s="22">
        <f>IF(B266="","",IF(D266=1,IF(COUNTIFS(Eventos!$D$8:$D$47,"&lt;="&amp;B266,Eventos!$M$8:$M$47,"&gt;="&amp;B266,Eventos!$I$8:$I$47,"Sí")&gt;0,1,0),0))</f>
        <v/>
      </c>
      <c r="F266" s="22">
        <f>IF(B266="","",D266-E266)</f>
        <v/>
      </c>
      <c r="G266" s="32">
        <f>IF(B266="","",DATE(YEAR(B266),MONTH(B266),1))</f>
        <v/>
      </c>
      <c r="H266" s="22">
        <f>IF(B266="","",COUNTIFS(Eventos!$D$8:$D$47,"&lt;="&amp;B266,Eventos!$M$8:$M$47,"&gt;="&amp;B266))</f>
        <v/>
      </c>
    </row>
    <row r="267">
      <c r="B267" s="19">
        <f>IF(Meses!$C$8+259&gt;=EDATE(Meses!$C$8,10),"",Meses!$C$8+259)</f>
        <v/>
      </c>
      <c r="C267" s="21">
        <f>IF(B267="","",MID("LunMarMiéJueVieSábDom",(WEEKDAY(B267,2)-1)*3+1,3))</f>
        <v/>
      </c>
      <c r="D267" s="22">
        <f>IF(B267="","",IF(AND(WEEKDAY(B267,2)&lt;=5,B267&gt;=Panel!$E$5,B267&lt;=Panel!$G$5),1,0))</f>
        <v/>
      </c>
      <c r="E267" s="22">
        <f>IF(B267="","",IF(D267=1,IF(COUNTIFS(Eventos!$D$8:$D$47,"&lt;="&amp;B267,Eventos!$M$8:$M$47,"&gt;="&amp;B267,Eventos!$I$8:$I$47,"Sí")&gt;0,1,0),0))</f>
        <v/>
      </c>
      <c r="F267" s="22">
        <f>IF(B267="","",D267-E267)</f>
        <v/>
      </c>
      <c r="G267" s="32">
        <f>IF(B267="","",DATE(YEAR(B267),MONTH(B267),1))</f>
        <v/>
      </c>
      <c r="H267" s="22">
        <f>IF(B267="","",COUNTIFS(Eventos!$D$8:$D$47,"&lt;="&amp;B267,Eventos!$M$8:$M$47,"&gt;="&amp;B267))</f>
        <v/>
      </c>
    </row>
    <row r="268">
      <c r="B268" s="19">
        <f>IF(Meses!$C$8+260&gt;=EDATE(Meses!$C$8,10),"",Meses!$C$8+260)</f>
        <v/>
      </c>
      <c r="C268" s="21">
        <f>IF(B268="","",MID("LunMarMiéJueVieSábDom",(WEEKDAY(B268,2)-1)*3+1,3))</f>
        <v/>
      </c>
      <c r="D268" s="22">
        <f>IF(B268="","",IF(AND(WEEKDAY(B268,2)&lt;=5,B268&gt;=Panel!$E$5,B268&lt;=Panel!$G$5),1,0))</f>
        <v/>
      </c>
      <c r="E268" s="22">
        <f>IF(B268="","",IF(D268=1,IF(COUNTIFS(Eventos!$D$8:$D$47,"&lt;="&amp;B268,Eventos!$M$8:$M$47,"&gt;="&amp;B268,Eventos!$I$8:$I$47,"Sí")&gt;0,1,0),0))</f>
        <v/>
      </c>
      <c r="F268" s="22">
        <f>IF(B268="","",D268-E268)</f>
        <v/>
      </c>
      <c r="G268" s="32">
        <f>IF(B268="","",DATE(YEAR(B268),MONTH(B268),1))</f>
        <v/>
      </c>
      <c r="H268" s="22">
        <f>IF(B268="","",COUNTIFS(Eventos!$D$8:$D$47,"&lt;="&amp;B268,Eventos!$M$8:$M$47,"&gt;="&amp;B268))</f>
        <v/>
      </c>
    </row>
    <row r="269">
      <c r="B269" s="19">
        <f>IF(Meses!$C$8+261&gt;=EDATE(Meses!$C$8,10),"",Meses!$C$8+261)</f>
        <v/>
      </c>
      <c r="C269" s="21">
        <f>IF(B269="","",MID("LunMarMiéJueVieSábDom",(WEEKDAY(B269,2)-1)*3+1,3))</f>
        <v/>
      </c>
      <c r="D269" s="22">
        <f>IF(B269="","",IF(AND(WEEKDAY(B269,2)&lt;=5,B269&gt;=Panel!$E$5,B269&lt;=Panel!$G$5),1,0))</f>
        <v/>
      </c>
      <c r="E269" s="22">
        <f>IF(B269="","",IF(D269=1,IF(COUNTIFS(Eventos!$D$8:$D$47,"&lt;="&amp;B269,Eventos!$M$8:$M$47,"&gt;="&amp;B269,Eventos!$I$8:$I$47,"Sí")&gt;0,1,0),0))</f>
        <v/>
      </c>
      <c r="F269" s="22">
        <f>IF(B269="","",D269-E269)</f>
        <v/>
      </c>
      <c r="G269" s="32">
        <f>IF(B269="","",DATE(YEAR(B269),MONTH(B269),1))</f>
        <v/>
      </c>
      <c r="H269" s="22">
        <f>IF(B269="","",COUNTIFS(Eventos!$D$8:$D$47,"&lt;="&amp;B269,Eventos!$M$8:$M$47,"&gt;="&amp;B269))</f>
        <v/>
      </c>
    </row>
    <row r="270">
      <c r="B270" s="19">
        <f>IF(Meses!$C$8+262&gt;=EDATE(Meses!$C$8,10),"",Meses!$C$8+262)</f>
        <v/>
      </c>
      <c r="C270" s="21">
        <f>IF(B270="","",MID("LunMarMiéJueVieSábDom",(WEEKDAY(B270,2)-1)*3+1,3))</f>
        <v/>
      </c>
      <c r="D270" s="22">
        <f>IF(B270="","",IF(AND(WEEKDAY(B270,2)&lt;=5,B270&gt;=Panel!$E$5,B270&lt;=Panel!$G$5),1,0))</f>
        <v/>
      </c>
      <c r="E270" s="22">
        <f>IF(B270="","",IF(D270=1,IF(COUNTIFS(Eventos!$D$8:$D$47,"&lt;="&amp;B270,Eventos!$M$8:$M$47,"&gt;="&amp;B270,Eventos!$I$8:$I$47,"Sí")&gt;0,1,0),0))</f>
        <v/>
      </c>
      <c r="F270" s="22">
        <f>IF(B270="","",D270-E270)</f>
        <v/>
      </c>
      <c r="G270" s="32">
        <f>IF(B270="","",DATE(YEAR(B270),MONTH(B270),1))</f>
        <v/>
      </c>
      <c r="H270" s="22">
        <f>IF(B270="","",COUNTIFS(Eventos!$D$8:$D$47,"&lt;="&amp;B270,Eventos!$M$8:$M$47,"&gt;="&amp;B270))</f>
        <v/>
      </c>
    </row>
    <row r="271">
      <c r="B271" s="19">
        <f>IF(Meses!$C$8+263&gt;=EDATE(Meses!$C$8,10),"",Meses!$C$8+263)</f>
        <v/>
      </c>
      <c r="C271" s="21">
        <f>IF(B271="","",MID("LunMarMiéJueVieSábDom",(WEEKDAY(B271,2)-1)*3+1,3))</f>
        <v/>
      </c>
      <c r="D271" s="22">
        <f>IF(B271="","",IF(AND(WEEKDAY(B271,2)&lt;=5,B271&gt;=Panel!$E$5,B271&lt;=Panel!$G$5),1,0))</f>
        <v/>
      </c>
      <c r="E271" s="22">
        <f>IF(B271="","",IF(D271=1,IF(COUNTIFS(Eventos!$D$8:$D$47,"&lt;="&amp;B271,Eventos!$M$8:$M$47,"&gt;="&amp;B271,Eventos!$I$8:$I$47,"Sí")&gt;0,1,0),0))</f>
        <v/>
      </c>
      <c r="F271" s="22">
        <f>IF(B271="","",D271-E271)</f>
        <v/>
      </c>
      <c r="G271" s="32">
        <f>IF(B271="","",DATE(YEAR(B271),MONTH(B271),1))</f>
        <v/>
      </c>
      <c r="H271" s="22">
        <f>IF(B271="","",COUNTIFS(Eventos!$D$8:$D$47,"&lt;="&amp;B271,Eventos!$M$8:$M$47,"&gt;="&amp;B271))</f>
        <v/>
      </c>
    </row>
    <row r="272">
      <c r="B272" s="19">
        <f>IF(Meses!$C$8+264&gt;=EDATE(Meses!$C$8,10),"",Meses!$C$8+264)</f>
        <v/>
      </c>
      <c r="C272" s="21">
        <f>IF(B272="","",MID("LunMarMiéJueVieSábDom",(WEEKDAY(B272,2)-1)*3+1,3))</f>
        <v/>
      </c>
      <c r="D272" s="22">
        <f>IF(B272="","",IF(AND(WEEKDAY(B272,2)&lt;=5,B272&gt;=Panel!$E$5,B272&lt;=Panel!$G$5),1,0))</f>
        <v/>
      </c>
      <c r="E272" s="22">
        <f>IF(B272="","",IF(D272=1,IF(COUNTIFS(Eventos!$D$8:$D$47,"&lt;="&amp;B272,Eventos!$M$8:$M$47,"&gt;="&amp;B272,Eventos!$I$8:$I$47,"Sí")&gt;0,1,0),0))</f>
        <v/>
      </c>
      <c r="F272" s="22">
        <f>IF(B272="","",D272-E272)</f>
        <v/>
      </c>
      <c r="G272" s="32">
        <f>IF(B272="","",DATE(YEAR(B272),MONTH(B272),1))</f>
        <v/>
      </c>
      <c r="H272" s="22">
        <f>IF(B272="","",COUNTIFS(Eventos!$D$8:$D$47,"&lt;="&amp;B272,Eventos!$M$8:$M$47,"&gt;="&amp;B272))</f>
        <v/>
      </c>
    </row>
    <row r="273">
      <c r="B273" s="19">
        <f>IF(Meses!$C$8+265&gt;=EDATE(Meses!$C$8,10),"",Meses!$C$8+265)</f>
        <v/>
      </c>
      <c r="C273" s="21">
        <f>IF(B273="","",MID("LunMarMiéJueVieSábDom",(WEEKDAY(B273,2)-1)*3+1,3))</f>
        <v/>
      </c>
      <c r="D273" s="22">
        <f>IF(B273="","",IF(AND(WEEKDAY(B273,2)&lt;=5,B273&gt;=Panel!$E$5,B273&lt;=Panel!$G$5),1,0))</f>
        <v/>
      </c>
      <c r="E273" s="22">
        <f>IF(B273="","",IF(D273=1,IF(COUNTIFS(Eventos!$D$8:$D$47,"&lt;="&amp;B273,Eventos!$M$8:$M$47,"&gt;="&amp;B273,Eventos!$I$8:$I$47,"Sí")&gt;0,1,0),0))</f>
        <v/>
      </c>
      <c r="F273" s="22">
        <f>IF(B273="","",D273-E273)</f>
        <v/>
      </c>
      <c r="G273" s="32">
        <f>IF(B273="","",DATE(YEAR(B273),MONTH(B273),1))</f>
        <v/>
      </c>
      <c r="H273" s="22">
        <f>IF(B273="","",COUNTIFS(Eventos!$D$8:$D$47,"&lt;="&amp;B273,Eventos!$M$8:$M$47,"&gt;="&amp;B273))</f>
        <v/>
      </c>
    </row>
    <row r="274">
      <c r="B274" s="19">
        <f>IF(Meses!$C$8+266&gt;=EDATE(Meses!$C$8,10),"",Meses!$C$8+266)</f>
        <v/>
      </c>
      <c r="C274" s="21">
        <f>IF(B274="","",MID("LunMarMiéJueVieSábDom",(WEEKDAY(B274,2)-1)*3+1,3))</f>
        <v/>
      </c>
      <c r="D274" s="22">
        <f>IF(B274="","",IF(AND(WEEKDAY(B274,2)&lt;=5,B274&gt;=Panel!$E$5,B274&lt;=Panel!$G$5),1,0))</f>
        <v/>
      </c>
      <c r="E274" s="22">
        <f>IF(B274="","",IF(D274=1,IF(COUNTIFS(Eventos!$D$8:$D$47,"&lt;="&amp;B274,Eventos!$M$8:$M$47,"&gt;="&amp;B274,Eventos!$I$8:$I$47,"Sí")&gt;0,1,0),0))</f>
        <v/>
      </c>
      <c r="F274" s="22">
        <f>IF(B274="","",D274-E274)</f>
        <v/>
      </c>
      <c r="G274" s="32">
        <f>IF(B274="","",DATE(YEAR(B274),MONTH(B274),1))</f>
        <v/>
      </c>
      <c r="H274" s="22">
        <f>IF(B274="","",COUNTIFS(Eventos!$D$8:$D$47,"&lt;="&amp;B274,Eventos!$M$8:$M$47,"&gt;="&amp;B274))</f>
        <v/>
      </c>
    </row>
    <row r="275">
      <c r="B275" s="19">
        <f>IF(Meses!$C$8+267&gt;=EDATE(Meses!$C$8,10),"",Meses!$C$8+267)</f>
        <v/>
      </c>
      <c r="C275" s="21">
        <f>IF(B275="","",MID("LunMarMiéJueVieSábDom",(WEEKDAY(B275,2)-1)*3+1,3))</f>
        <v/>
      </c>
      <c r="D275" s="22">
        <f>IF(B275="","",IF(AND(WEEKDAY(B275,2)&lt;=5,B275&gt;=Panel!$E$5,B275&lt;=Panel!$G$5),1,0))</f>
        <v/>
      </c>
      <c r="E275" s="22">
        <f>IF(B275="","",IF(D275=1,IF(COUNTIFS(Eventos!$D$8:$D$47,"&lt;="&amp;B275,Eventos!$M$8:$M$47,"&gt;="&amp;B275,Eventos!$I$8:$I$47,"Sí")&gt;0,1,0),0))</f>
        <v/>
      </c>
      <c r="F275" s="22">
        <f>IF(B275="","",D275-E275)</f>
        <v/>
      </c>
      <c r="G275" s="32">
        <f>IF(B275="","",DATE(YEAR(B275),MONTH(B275),1))</f>
        <v/>
      </c>
      <c r="H275" s="22">
        <f>IF(B275="","",COUNTIFS(Eventos!$D$8:$D$47,"&lt;="&amp;B275,Eventos!$M$8:$M$47,"&gt;="&amp;B275))</f>
        <v/>
      </c>
    </row>
    <row r="276">
      <c r="B276" s="19">
        <f>IF(Meses!$C$8+268&gt;=EDATE(Meses!$C$8,10),"",Meses!$C$8+268)</f>
        <v/>
      </c>
      <c r="C276" s="21">
        <f>IF(B276="","",MID("LunMarMiéJueVieSábDom",(WEEKDAY(B276,2)-1)*3+1,3))</f>
        <v/>
      </c>
      <c r="D276" s="22">
        <f>IF(B276="","",IF(AND(WEEKDAY(B276,2)&lt;=5,B276&gt;=Panel!$E$5,B276&lt;=Panel!$G$5),1,0))</f>
        <v/>
      </c>
      <c r="E276" s="22">
        <f>IF(B276="","",IF(D276=1,IF(COUNTIFS(Eventos!$D$8:$D$47,"&lt;="&amp;B276,Eventos!$M$8:$M$47,"&gt;="&amp;B276,Eventos!$I$8:$I$47,"Sí")&gt;0,1,0),0))</f>
        <v/>
      </c>
      <c r="F276" s="22">
        <f>IF(B276="","",D276-E276)</f>
        <v/>
      </c>
      <c r="G276" s="32">
        <f>IF(B276="","",DATE(YEAR(B276),MONTH(B276),1))</f>
        <v/>
      </c>
      <c r="H276" s="22">
        <f>IF(B276="","",COUNTIFS(Eventos!$D$8:$D$47,"&lt;="&amp;B276,Eventos!$M$8:$M$47,"&gt;="&amp;B276))</f>
        <v/>
      </c>
    </row>
    <row r="277">
      <c r="B277" s="19">
        <f>IF(Meses!$C$8+269&gt;=EDATE(Meses!$C$8,10),"",Meses!$C$8+269)</f>
        <v/>
      </c>
      <c r="C277" s="21">
        <f>IF(B277="","",MID("LunMarMiéJueVieSábDom",(WEEKDAY(B277,2)-1)*3+1,3))</f>
        <v/>
      </c>
      <c r="D277" s="22">
        <f>IF(B277="","",IF(AND(WEEKDAY(B277,2)&lt;=5,B277&gt;=Panel!$E$5,B277&lt;=Panel!$G$5),1,0))</f>
        <v/>
      </c>
      <c r="E277" s="22">
        <f>IF(B277="","",IF(D277=1,IF(COUNTIFS(Eventos!$D$8:$D$47,"&lt;="&amp;B277,Eventos!$M$8:$M$47,"&gt;="&amp;B277,Eventos!$I$8:$I$47,"Sí")&gt;0,1,0),0))</f>
        <v/>
      </c>
      <c r="F277" s="22">
        <f>IF(B277="","",D277-E277)</f>
        <v/>
      </c>
      <c r="G277" s="32">
        <f>IF(B277="","",DATE(YEAR(B277),MONTH(B277),1))</f>
        <v/>
      </c>
      <c r="H277" s="22">
        <f>IF(B277="","",COUNTIFS(Eventos!$D$8:$D$47,"&lt;="&amp;B277,Eventos!$M$8:$M$47,"&gt;="&amp;B277))</f>
        <v/>
      </c>
    </row>
    <row r="278">
      <c r="B278" s="19">
        <f>IF(Meses!$C$8+270&gt;=EDATE(Meses!$C$8,10),"",Meses!$C$8+270)</f>
        <v/>
      </c>
      <c r="C278" s="21">
        <f>IF(B278="","",MID("LunMarMiéJueVieSábDom",(WEEKDAY(B278,2)-1)*3+1,3))</f>
        <v/>
      </c>
      <c r="D278" s="22">
        <f>IF(B278="","",IF(AND(WEEKDAY(B278,2)&lt;=5,B278&gt;=Panel!$E$5,B278&lt;=Panel!$G$5),1,0))</f>
        <v/>
      </c>
      <c r="E278" s="22">
        <f>IF(B278="","",IF(D278=1,IF(COUNTIFS(Eventos!$D$8:$D$47,"&lt;="&amp;B278,Eventos!$M$8:$M$47,"&gt;="&amp;B278,Eventos!$I$8:$I$47,"Sí")&gt;0,1,0),0))</f>
        <v/>
      </c>
      <c r="F278" s="22">
        <f>IF(B278="","",D278-E278)</f>
        <v/>
      </c>
      <c r="G278" s="32">
        <f>IF(B278="","",DATE(YEAR(B278),MONTH(B278),1))</f>
        <v/>
      </c>
      <c r="H278" s="22">
        <f>IF(B278="","",COUNTIFS(Eventos!$D$8:$D$47,"&lt;="&amp;B278,Eventos!$M$8:$M$47,"&gt;="&amp;B278))</f>
        <v/>
      </c>
    </row>
    <row r="279">
      <c r="B279" s="19">
        <f>IF(Meses!$C$8+271&gt;=EDATE(Meses!$C$8,10),"",Meses!$C$8+271)</f>
        <v/>
      </c>
      <c r="C279" s="21">
        <f>IF(B279="","",MID("LunMarMiéJueVieSábDom",(WEEKDAY(B279,2)-1)*3+1,3))</f>
        <v/>
      </c>
      <c r="D279" s="22">
        <f>IF(B279="","",IF(AND(WEEKDAY(B279,2)&lt;=5,B279&gt;=Panel!$E$5,B279&lt;=Panel!$G$5),1,0))</f>
        <v/>
      </c>
      <c r="E279" s="22">
        <f>IF(B279="","",IF(D279=1,IF(COUNTIFS(Eventos!$D$8:$D$47,"&lt;="&amp;B279,Eventos!$M$8:$M$47,"&gt;="&amp;B279,Eventos!$I$8:$I$47,"Sí")&gt;0,1,0),0))</f>
        <v/>
      </c>
      <c r="F279" s="22">
        <f>IF(B279="","",D279-E279)</f>
        <v/>
      </c>
      <c r="G279" s="32">
        <f>IF(B279="","",DATE(YEAR(B279),MONTH(B279),1))</f>
        <v/>
      </c>
      <c r="H279" s="22">
        <f>IF(B279="","",COUNTIFS(Eventos!$D$8:$D$47,"&lt;="&amp;B279,Eventos!$M$8:$M$47,"&gt;="&amp;B279))</f>
        <v/>
      </c>
    </row>
    <row r="280">
      <c r="B280" s="19">
        <f>IF(Meses!$C$8+272&gt;=EDATE(Meses!$C$8,10),"",Meses!$C$8+272)</f>
        <v/>
      </c>
      <c r="C280" s="21">
        <f>IF(B280="","",MID("LunMarMiéJueVieSábDom",(WEEKDAY(B280,2)-1)*3+1,3))</f>
        <v/>
      </c>
      <c r="D280" s="22">
        <f>IF(B280="","",IF(AND(WEEKDAY(B280,2)&lt;=5,B280&gt;=Panel!$E$5,B280&lt;=Panel!$G$5),1,0))</f>
        <v/>
      </c>
      <c r="E280" s="22">
        <f>IF(B280="","",IF(D280=1,IF(COUNTIFS(Eventos!$D$8:$D$47,"&lt;="&amp;B280,Eventos!$M$8:$M$47,"&gt;="&amp;B280,Eventos!$I$8:$I$47,"Sí")&gt;0,1,0),0))</f>
        <v/>
      </c>
      <c r="F280" s="22">
        <f>IF(B280="","",D280-E280)</f>
        <v/>
      </c>
      <c r="G280" s="32">
        <f>IF(B280="","",DATE(YEAR(B280),MONTH(B280),1))</f>
        <v/>
      </c>
      <c r="H280" s="22">
        <f>IF(B280="","",COUNTIFS(Eventos!$D$8:$D$47,"&lt;="&amp;B280,Eventos!$M$8:$M$47,"&gt;="&amp;B280))</f>
        <v/>
      </c>
    </row>
    <row r="281">
      <c r="B281" s="19">
        <f>IF(Meses!$C$8+273&gt;=EDATE(Meses!$C$8,10),"",Meses!$C$8+273)</f>
        <v/>
      </c>
      <c r="C281" s="21">
        <f>IF(B281="","",MID("LunMarMiéJueVieSábDom",(WEEKDAY(B281,2)-1)*3+1,3))</f>
        <v/>
      </c>
      <c r="D281" s="22">
        <f>IF(B281="","",IF(AND(WEEKDAY(B281,2)&lt;=5,B281&gt;=Panel!$E$5,B281&lt;=Panel!$G$5),1,0))</f>
        <v/>
      </c>
      <c r="E281" s="22">
        <f>IF(B281="","",IF(D281=1,IF(COUNTIFS(Eventos!$D$8:$D$47,"&lt;="&amp;B281,Eventos!$M$8:$M$47,"&gt;="&amp;B281,Eventos!$I$8:$I$47,"Sí")&gt;0,1,0),0))</f>
        <v/>
      </c>
      <c r="F281" s="22">
        <f>IF(B281="","",D281-E281)</f>
        <v/>
      </c>
      <c r="G281" s="32">
        <f>IF(B281="","",DATE(YEAR(B281),MONTH(B281),1))</f>
        <v/>
      </c>
      <c r="H281" s="22">
        <f>IF(B281="","",COUNTIFS(Eventos!$D$8:$D$47,"&lt;="&amp;B281,Eventos!$M$8:$M$47,"&gt;="&amp;B281))</f>
        <v/>
      </c>
    </row>
    <row r="282">
      <c r="B282" s="19">
        <f>IF(Meses!$C$8+274&gt;=EDATE(Meses!$C$8,10),"",Meses!$C$8+274)</f>
        <v/>
      </c>
      <c r="C282" s="21">
        <f>IF(B282="","",MID("LunMarMiéJueVieSábDom",(WEEKDAY(B282,2)-1)*3+1,3))</f>
        <v/>
      </c>
      <c r="D282" s="22">
        <f>IF(B282="","",IF(AND(WEEKDAY(B282,2)&lt;=5,B282&gt;=Panel!$E$5,B282&lt;=Panel!$G$5),1,0))</f>
        <v/>
      </c>
      <c r="E282" s="22">
        <f>IF(B282="","",IF(D282=1,IF(COUNTIFS(Eventos!$D$8:$D$47,"&lt;="&amp;B282,Eventos!$M$8:$M$47,"&gt;="&amp;B282,Eventos!$I$8:$I$47,"Sí")&gt;0,1,0),0))</f>
        <v/>
      </c>
      <c r="F282" s="22">
        <f>IF(B282="","",D282-E282)</f>
        <v/>
      </c>
      <c r="G282" s="32">
        <f>IF(B282="","",DATE(YEAR(B282),MONTH(B282),1))</f>
        <v/>
      </c>
      <c r="H282" s="22">
        <f>IF(B282="","",COUNTIFS(Eventos!$D$8:$D$47,"&lt;="&amp;B282,Eventos!$M$8:$M$47,"&gt;="&amp;B282))</f>
        <v/>
      </c>
    </row>
    <row r="283">
      <c r="B283" s="19">
        <f>IF(Meses!$C$8+275&gt;=EDATE(Meses!$C$8,10),"",Meses!$C$8+275)</f>
        <v/>
      </c>
      <c r="C283" s="21">
        <f>IF(B283="","",MID("LunMarMiéJueVieSábDom",(WEEKDAY(B283,2)-1)*3+1,3))</f>
        <v/>
      </c>
      <c r="D283" s="22">
        <f>IF(B283="","",IF(AND(WEEKDAY(B283,2)&lt;=5,B283&gt;=Panel!$E$5,B283&lt;=Panel!$G$5),1,0))</f>
        <v/>
      </c>
      <c r="E283" s="22">
        <f>IF(B283="","",IF(D283=1,IF(COUNTIFS(Eventos!$D$8:$D$47,"&lt;="&amp;B283,Eventos!$M$8:$M$47,"&gt;="&amp;B283,Eventos!$I$8:$I$47,"Sí")&gt;0,1,0),0))</f>
        <v/>
      </c>
      <c r="F283" s="22">
        <f>IF(B283="","",D283-E283)</f>
        <v/>
      </c>
      <c r="G283" s="32">
        <f>IF(B283="","",DATE(YEAR(B283),MONTH(B283),1))</f>
        <v/>
      </c>
      <c r="H283" s="22">
        <f>IF(B283="","",COUNTIFS(Eventos!$D$8:$D$47,"&lt;="&amp;B283,Eventos!$M$8:$M$47,"&gt;="&amp;B283))</f>
        <v/>
      </c>
    </row>
    <row r="284">
      <c r="B284" s="19">
        <f>IF(Meses!$C$8+276&gt;=EDATE(Meses!$C$8,10),"",Meses!$C$8+276)</f>
        <v/>
      </c>
      <c r="C284" s="21">
        <f>IF(B284="","",MID("LunMarMiéJueVieSábDom",(WEEKDAY(B284,2)-1)*3+1,3))</f>
        <v/>
      </c>
      <c r="D284" s="22">
        <f>IF(B284="","",IF(AND(WEEKDAY(B284,2)&lt;=5,B284&gt;=Panel!$E$5,B284&lt;=Panel!$G$5),1,0))</f>
        <v/>
      </c>
      <c r="E284" s="22">
        <f>IF(B284="","",IF(D284=1,IF(COUNTIFS(Eventos!$D$8:$D$47,"&lt;="&amp;B284,Eventos!$M$8:$M$47,"&gt;="&amp;B284,Eventos!$I$8:$I$47,"Sí")&gt;0,1,0),0))</f>
        <v/>
      </c>
      <c r="F284" s="22">
        <f>IF(B284="","",D284-E284)</f>
        <v/>
      </c>
      <c r="G284" s="32">
        <f>IF(B284="","",DATE(YEAR(B284),MONTH(B284),1))</f>
        <v/>
      </c>
      <c r="H284" s="22">
        <f>IF(B284="","",COUNTIFS(Eventos!$D$8:$D$47,"&lt;="&amp;B284,Eventos!$M$8:$M$47,"&gt;="&amp;B284))</f>
        <v/>
      </c>
    </row>
    <row r="285">
      <c r="B285" s="19">
        <f>IF(Meses!$C$8+277&gt;=EDATE(Meses!$C$8,10),"",Meses!$C$8+277)</f>
        <v/>
      </c>
      <c r="C285" s="21">
        <f>IF(B285="","",MID("LunMarMiéJueVieSábDom",(WEEKDAY(B285,2)-1)*3+1,3))</f>
        <v/>
      </c>
      <c r="D285" s="22">
        <f>IF(B285="","",IF(AND(WEEKDAY(B285,2)&lt;=5,B285&gt;=Panel!$E$5,B285&lt;=Panel!$G$5),1,0))</f>
        <v/>
      </c>
      <c r="E285" s="22">
        <f>IF(B285="","",IF(D285=1,IF(COUNTIFS(Eventos!$D$8:$D$47,"&lt;="&amp;B285,Eventos!$M$8:$M$47,"&gt;="&amp;B285,Eventos!$I$8:$I$47,"Sí")&gt;0,1,0),0))</f>
        <v/>
      </c>
      <c r="F285" s="22">
        <f>IF(B285="","",D285-E285)</f>
        <v/>
      </c>
      <c r="G285" s="32">
        <f>IF(B285="","",DATE(YEAR(B285),MONTH(B285),1))</f>
        <v/>
      </c>
      <c r="H285" s="22">
        <f>IF(B285="","",COUNTIFS(Eventos!$D$8:$D$47,"&lt;="&amp;B285,Eventos!$M$8:$M$47,"&gt;="&amp;B285))</f>
        <v/>
      </c>
    </row>
    <row r="286">
      <c r="B286" s="19">
        <f>IF(Meses!$C$8+278&gt;=EDATE(Meses!$C$8,10),"",Meses!$C$8+278)</f>
        <v/>
      </c>
      <c r="C286" s="21">
        <f>IF(B286="","",MID("LunMarMiéJueVieSábDom",(WEEKDAY(B286,2)-1)*3+1,3))</f>
        <v/>
      </c>
      <c r="D286" s="22">
        <f>IF(B286="","",IF(AND(WEEKDAY(B286,2)&lt;=5,B286&gt;=Panel!$E$5,B286&lt;=Panel!$G$5),1,0))</f>
        <v/>
      </c>
      <c r="E286" s="22">
        <f>IF(B286="","",IF(D286=1,IF(COUNTIFS(Eventos!$D$8:$D$47,"&lt;="&amp;B286,Eventos!$M$8:$M$47,"&gt;="&amp;B286,Eventos!$I$8:$I$47,"Sí")&gt;0,1,0),0))</f>
        <v/>
      </c>
      <c r="F286" s="22">
        <f>IF(B286="","",D286-E286)</f>
        <v/>
      </c>
      <c r="G286" s="32">
        <f>IF(B286="","",DATE(YEAR(B286),MONTH(B286),1))</f>
        <v/>
      </c>
      <c r="H286" s="22">
        <f>IF(B286="","",COUNTIFS(Eventos!$D$8:$D$47,"&lt;="&amp;B286,Eventos!$M$8:$M$47,"&gt;="&amp;B286))</f>
        <v/>
      </c>
    </row>
    <row r="287">
      <c r="B287" s="19">
        <f>IF(Meses!$C$8+279&gt;=EDATE(Meses!$C$8,10),"",Meses!$C$8+279)</f>
        <v/>
      </c>
      <c r="C287" s="21">
        <f>IF(B287="","",MID("LunMarMiéJueVieSábDom",(WEEKDAY(B287,2)-1)*3+1,3))</f>
        <v/>
      </c>
      <c r="D287" s="22">
        <f>IF(B287="","",IF(AND(WEEKDAY(B287,2)&lt;=5,B287&gt;=Panel!$E$5,B287&lt;=Panel!$G$5),1,0))</f>
        <v/>
      </c>
      <c r="E287" s="22">
        <f>IF(B287="","",IF(D287=1,IF(COUNTIFS(Eventos!$D$8:$D$47,"&lt;="&amp;B287,Eventos!$M$8:$M$47,"&gt;="&amp;B287,Eventos!$I$8:$I$47,"Sí")&gt;0,1,0),0))</f>
        <v/>
      </c>
      <c r="F287" s="22">
        <f>IF(B287="","",D287-E287)</f>
        <v/>
      </c>
      <c r="G287" s="32">
        <f>IF(B287="","",DATE(YEAR(B287),MONTH(B287),1))</f>
        <v/>
      </c>
      <c r="H287" s="22">
        <f>IF(B287="","",COUNTIFS(Eventos!$D$8:$D$47,"&lt;="&amp;B287,Eventos!$M$8:$M$47,"&gt;="&amp;B287))</f>
        <v/>
      </c>
    </row>
    <row r="288">
      <c r="B288" s="19">
        <f>IF(Meses!$C$8+280&gt;=EDATE(Meses!$C$8,10),"",Meses!$C$8+280)</f>
        <v/>
      </c>
      <c r="C288" s="21">
        <f>IF(B288="","",MID("LunMarMiéJueVieSábDom",(WEEKDAY(B288,2)-1)*3+1,3))</f>
        <v/>
      </c>
      <c r="D288" s="22">
        <f>IF(B288="","",IF(AND(WEEKDAY(B288,2)&lt;=5,B288&gt;=Panel!$E$5,B288&lt;=Panel!$G$5),1,0))</f>
        <v/>
      </c>
      <c r="E288" s="22">
        <f>IF(B288="","",IF(D288=1,IF(COUNTIFS(Eventos!$D$8:$D$47,"&lt;="&amp;B288,Eventos!$M$8:$M$47,"&gt;="&amp;B288,Eventos!$I$8:$I$47,"Sí")&gt;0,1,0),0))</f>
        <v/>
      </c>
      <c r="F288" s="22">
        <f>IF(B288="","",D288-E288)</f>
        <v/>
      </c>
      <c r="G288" s="32">
        <f>IF(B288="","",DATE(YEAR(B288),MONTH(B288),1))</f>
        <v/>
      </c>
      <c r="H288" s="22">
        <f>IF(B288="","",COUNTIFS(Eventos!$D$8:$D$47,"&lt;="&amp;B288,Eventos!$M$8:$M$47,"&gt;="&amp;B288))</f>
        <v/>
      </c>
    </row>
    <row r="289">
      <c r="B289" s="19">
        <f>IF(Meses!$C$8+281&gt;=EDATE(Meses!$C$8,10),"",Meses!$C$8+281)</f>
        <v/>
      </c>
      <c r="C289" s="21">
        <f>IF(B289="","",MID("LunMarMiéJueVieSábDom",(WEEKDAY(B289,2)-1)*3+1,3))</f>
        <v/>
      </c>
      <c r="D289" s="22">
        <f>IF(B289="","",IF(AND(WEEKDAY(B289,2)&lt;=5,B289&gt;=Panel!$E$5,B289&lt;=Panel!$G$5),1,0))</f>
        <v/>
      </c>
      <c r="E289" s="22">
        <f>IF(B289="","",IF(D289=1,IF(COUNTIFS(Eventos!$D$8:$D$47,"&lt;="&amp;B289,Eventos!$M$8:$M$47,"&gt;="&amp;B289,Eventos!$I$8:$I$47,"Sí")&gt;0,1,0),0))</f>
        <v/>
      </c>
      <c r="F289" s="22">
        <f>IF(B289="","",D289-E289)</f>
        <v/>
      </c>
      <c r="G289" s="32">
        <f>IF(B289="","",DATE(YEAR(B289),MONTH(B289),1))</f>
        <v/>
      </c>
      <c r="H289" s="22">
        <f>IF(B289="","",COUNTIFS(Eventos!$D$8:$D$47,"&lt;="&amp;B289,Eventos!$M$8:$M$47,"&gt;="&amp;B289))</f>
        <v/>
      </c>
    </row>
    <row r="290">
      <c r="B290" s="19">
        <f>IF(Meses!$C$8+282&gt;=EDATE(Meses!$C$8,10),"",Meses!$C$8+282)</f>
        <v/>
      </c>
      <c r="C290" s="21">
        <f>IF(B290="","",MID("LunMarMiéJueVieSábDom",(WEEKDAY(B290,2)-1)*3+1,3))</f>
        <v/>
      </c>
      <c r="D290" s="22">
        <f>IF(B290="","",IF(AND(WEEKDAY(B290,2)&lt;=5,B290&gt;=Panel!$E$5,B290&lt;=Panel!$G$5),1,0))</f>
        <v/>
      </c>
      <c r="E290" s="22">
        <f>IF(B290="","",IF(D290=1,IF(COUNTIFS(Eventos!$D$8:$D$47,"&lt;="&amp;B290,Eventos!$M$8:$M$47,"&gt;="&amp;B290,Eventos!$I$8:$I$47,"Sí")&gt;0,1,0),0))</f>
        <v/>
      </c>
      <c r="F290" s="22">
        <f>IF(B290="","",D290-E290)</f>
        <v/>
      </c>
      <c r="G290" s="32">
        <f>IF(B290="","",DATE(YEAR(B290),MONTH(B290),1))</f>
        <v/>
      </c>
      <c r="H290" s="22">
        <f>IF(B290="","",COUNTIFS(Eventos!$D$8:$D$47,"&lt;="&amp;B290,Eventos!$M$8:$M$47,"&gt;="&amp;B290))</f>
        <v/>
      </c>
    </row>
    <row r="291">
      <c r="B291" s="19">
        <f>IF(Meses!$C$8+283&gt;=EDATE(Meses!$C$8,10),"",Meses!$C$8+283)</f>
        <v/>
      </c>
      <c r="C291" s="21">
        <f>IF(B291="","",MID("LunMarMiéJueVieSábDom",(WEEKDAY(B291,2)-1)*3+1,3))</f>
        <v/>
      </c>
      <c r="D291" s="22">
        <f>IF(B291="","",IF(AND(WEEKDAY(B291,2)&lt;=5,B291&gt;=Panel!$E$5,B291&lt;=Panel!$G$5),1,0))</f>
        <v/>
      </c>
      <c r="E291" s="22">
        <f>IF(B291="","",IF(D291=1,IF(COUNTIFS(Eventos!$D$8:$D$47,"&lt;="&amp;B291,Eventos!$M$8:$M$47,"&gt;="&amp;B291,Eventos!$I$8:$I$47,"Sí")&gt;0,1,0),0))</f>
        <v/>
      </c>
      <c r="F291" s="22">
        <f>IF(B291="","",D291-E291)</f>
        <v/>
      </c>
      <c r="G291" s="32">
        <f>IF(B291="","",DATE(YEAR(B291),MONTH(B291),1))</f>
        <v/>
      </c>
      <c r="H291" s="22">
        <f>IF(B291="","",COUNTIFS(Eventos!$D$8:$D$47,"&lt;="&amp;B291,Eventos!$M$8:$M$47,"&gt;="&amp;B291))</f>
        <v/>
      </c>
    </row>
    <row r="292">
      <c r="B292" s="19">
        <f>IF(Meses!$C$8+284&gt;=EDATE(Meses!$C$8,10),"",Meses!$C$8+284)</f>
        <v/>
      </c>
      <c r="C292" s="21">
        <f>IF(B292="","",MID("LunMarMiéJueVieSábDom",(WEEKDAY(B292,2)-1)*3+1,3))</f>
        <v/>
      </c>
      <c r="D292" s="22">
        <f>IF(B292="","",IF(AND(WEEKDAY(B292,2)&lt;=5,B292&gt;=Panel!$E$5,B292&lt;=Panel!$G$5),1,0))</f>
        <v/>
      </c>
      <c r="E292" s="22">
        <f>IF(B292="","",IF(D292=1,IF(COUNTIFS(Eventos!$D$8:$D$47,"&lt;="&amp;B292,Eventos!$M$8:$M$47,"&gt;="&amp;B292,Eventos!$I$8:$I$47,"Sí")&gt;0,1,0),0))</f>
        <v/>
      </c>
      <c r="F292" s="22">
        <f>IF(B292="","",D292-E292)</f>
        <v/>
      </c>
      <c r="G292" s="32">
        <f>IF(B292="","",DATE(YEAR(B292),MONTH(B292),1))</f>
        <v/>
      </c>
      <c r="H292" s="22">
        <f>IF(B292="","",COUNTIFS(Eventos!$D$8:$D$47,"&lt;="&amp;B292,Eventos!$M$8:$M$47,"&gt;="&amp;B292))</f>
        <v/>
      </c>
    </row>
    <row r="293">
      <c r="B293" s="19">
        <f>IF(Meses!$C$8+285&gt;=EDATE(Meses!$C$8,10),"",Meses!$C$8+285)</f>
        <v/>
      </c>
      <c r="C293" s="21">
        <f>IF(B293="","",MID("LunMarMiéJueVieSábDom",(WEEKDAY(B293,2)-1)*3+1,3))</f>
        <v/>
      </c>
      <c r="D293" s="22">
        <f>IF(B293="","",IF(AND(WEEKDAY(B293,2)&lt;=5,B293&gt;=Panel!$E$5,B293&lt;=Panel!$G$5),1,0))</f>
        <v/>
      </c>
      <c r="E293" s="22">
        <f>IF(B293="","",IF(D293=1,IF(COUNTIFS(Eventos!$D$8:$D$47,"&lt;="&amp;B293,Eventos!$M$8:$M$47,"&gt;="&amp;B293,Eventos!$I$8:$I$47,"Sí")&gt;0,1,0),0))</f>
        <v/>
      </c>
      <c r="F293" s="22">
        <f>IF(B293="","",D293-E293)</f>
        <v/>
      </c>
      <c r="G293" s="32">
        <f>IF(B293="","",DATE(YEAR(B293),MONTH(B293),1))</f>
        <v/>
      </c>
      <c r="H293" s="22">
        <f>IF(B293="","",COUNTIFS(Eventos!$D$8:$D$47,"&lt;="&amp;B293,Eventos!$M$8:$M$47,"&gt;="&amp;B293))</f>
        <v/>
      </c>
    </row>
    <row r="294">
      <c r="B294" s="19">
        <f>IF(Meses!$C$8+286&gt;=EDATE(Meses!$C$8,10),"",Meses!$C$8+286)</f>
        <v/>
      </c>
      <c r="C294" s="21">
        <f>IF(B294="","",MID("LunMarMiéJueVieSábDom",(WEEKDAY(B294,2)-1)*3+1,3))</f>
        <v/>
      </c>
      <c r="D294" s="22">
        <f>IF(B294="","",IF(AND(WEEKDAY(B294,2)&lt;=5,B294&gt;=Panel!$E$5,B294&lt;=Panel!$G$5),1,0))</f>
        <v/>
      </c>
      <c r="E294" s="22">
        <f>IF(B294="","",IF(D294=1,IF(COUNTIFS(Eventos!$D$8:$D$47,"&lt;="&amp;B294,Eventos!$M$8:$M$47,"&gt;="&amp;B294,Eventos!$I$8:$I$47,"Sí")&gt;0,1,0),0))</f>
        <v/>
      </c>
      <c r="F294" s="22">
        <f>IF(B294="","",D294-E294)</f>
        <v/>
      </c>
      <c r="G294" s="32">
        <f>IF(B294="","",DATE(YEAR(B294),MONTH(B294),1))</f>
        <v/>
      </c>
      <c r="H294" s="22">
        <f>IF(B294="","",COUNTIFS(Eventos!$D$8:$D$47,"&lt;="&amp;B294,Eventos!$M$8:$M$47,"&gt;="&amp;B294))</f>
        <v/>
      </c>
    </row>
    <row r="295">
      <c r="B295" s="19">
        <f>IF(Meses!$C$8+287&gt;=EDATE(Meses!$C$8,10),"",Meses!$C$8+287)</f>
        <v/>
      </c>
      <c r="C295" s="21">
        <f>IF(B295="","",MID("LunMarMiéJueVieSábDom",(WEEKDAY(B295,2)-1)*3+1,3))</f>
        <v/>
      </c>
      <c r="D295" s="22">
        <f>IF(B295="","",IF(AND(WEEKDAY(B295,2)&lt;=5,B295&gt;=Panel!$E$5,B295&lt;=Panel!$G$5),1,0))</f>
        <v/>
      </c>
      <c r="E295" s="22">
        <f>IF(B295="","",IF(D295=1,IF(COUNTIFS(Eventos!$D$8:$D$47,"&lt;="&amp;B295,Eventos!$M$8:$M$47,"&gt;="&amp;B295,Eventos!$I$8:$I$47,"Sí")&gt;0,1,0),0))</f>
        <v/>
      </c>
      <c r="F295" s="22">
        <f>IF(B295="","",D295-E295)</f>
        <v/>
      </c>
      <c r="G295" s="32">
        <f>IF(B295="","",DATE(YEAR(B295),MONTH(B295),1))</f>
        <v/>
      </c>
      <c r="H295" s="22">
        <f>IF(B295="","",COUNTIFS(Eventos!$D$8:$D$47,"&lt;="&amp;B295,Eventos!$M$8:$M$47,"&gt;="&amp;B295))</f>
        <v/>
      </c>
    </row>
    <row r="296">
      <c r="B296" s="19">
        <f>IF(Meses!$C$8+288&gt;=EDATE(Meses!$C$8,10),"",Meses!$C$8+288)</f>
        <v/>
      </c>
      <c r="C296" s="21">
        <f>IF(B296="","",MID("LunMarMiéJueVieSábDom",(WEEKDAY(B296,2)-1)*3+1,3))</f>
        <v/>
      </c>
      <c r="D296" s="22">
        <f>IF(B296="","",IF(AND(WEEKDAY(B296,2)&lt;=5,B296&gt;=Panel!$E$5,B296&lt;=Panel!$G$5),1,0))</f>
        <v/>
      </c>
      <c r="E296" s="22">
        <f>IF(B296="","",IF(D296=1,IF(COUNTIFS(Eventos!$D$8:$D$47,"&lt;="&amp;B296,Eventos!$M$8:$M$47,"&gt;="&amp;B296,Eventos!$I$8:$I$47,"Sí")&gt;0,1,0),0))</f>
        <v/>
      </c>
      <c r="F296" s="22">
        <f>IF(B296="","",D296-E296)</f>
        <v/>
      </c>
      <c r="G296" s="32">
        <f>IF(B296="","",DATE(YEAR(B296),MONTH(B296),1))</f>
        <v/>
      </c>
      <c r="H296" s="22">
        <f>IF(B296="","",COUNTIFS(Eventos!$D$8:$D$47,"&lt;="&amp;B296,Eventos!$M$8:$M$47,"&gt;="&amp;B296))</f>
        <v/>
      </c>
    </row>
    <row r="297">
      <c r="B297" s="19">
        <f>IF(Meses!$C$8+289&gt;=EDATE(Meses!$C$8,10),"",Meses!$C$8+289)</f>
        <v/>
      </c>
      <c r="C297" s="21">
        <f>IF(B297="","",MID("LunMarMiéJueVieSábDom",(WEEKDAY(B297,2)-1)*3+1,3))</f>
        <v/>
      </c>
      <c r="D297" s="22">
        <f>IF(B297="","",IF(AND(WEEKDAY(B297,2)&lt;=5,B297&gt;=Panel!$E$5,B297&lt;=Panel!$G$5),1,0))</f>
        <v/>
      </c>
      <c r="E297" s="22">
        <f>IF(B297="","",IF(D297=1,IF(COUNTIFS(Eventos!$D$8:$D$47,"&lt;="&amp;B297,Eventos!$M$8:$M$47,"&gt;="&amp;B297,Eventos!$I$8:$I$47,"Sí")&gt;0,1,0),0))</f>
        <v/>
      </c>
      <c r="F297" s="22">
        <f>IF(B297="","",D297-E297)</f>
        <v/>
      </c>
      <c r="G297" s="32">
        <f>IF(B297="","",DATE(YEAR(B297),MONTH(B297),1))</f>
        <v/>
      </c>
      <c r="H297" s="22">
        <f>IF(B297="","",COUNTIFS(Eventos!$D$8:$D$47,"&lt;="&amp;B297,Eventos!$M$8:$M$47,"&gt;="&amp;B297))</f>
        <v/>
      </c>
    </row>
    <row r="298">
      <c r="B298" s="19">
        <f>IF(Meses!$C$8+290&gt;=EDATE(Meses!$C$8,10),"",Meses!$C$8+290)</f>
        <v/>
      </c>
      <c r="C298" s="21">
        <f>IF(B298="","",MID("LunMarMiéJueVieSábDom",(WEEKDAY(B298,2)-1)*3+1,3))</f>
        <v/>
      </c>
      <c r="D298" s="22">
        <f>IF(B298="","",IF(AND(WEEKDAY(B298,2)&lt;=5,B298&gt;=Panel!$E$5,B298&lt;=Panel!$G$5),1,0))</f>
        <v/>
      </c>
      <c r="E298" s="22">
        <f>IF(B298="","",IF(D298=1,IF(COUNTIFS(Eventos!$D$8:$D$47,"&lt;="&amp;B298,Eventos!$M$8:$M$47,"&gt;="&amp;B298,Eventos!$I$8:$I$47,"Sí")&gt;0,1,0),0))</f>
        <v/>
      </c>
      <c r="F298" s="22">
        <f>IF(B298="","",D298-E298)</f>
        <v/>
      </c>
      <c r="G298" s="32">
        <f>IF(B298="","",DATE(YEAR(B298),MONTH(B298),1))</f>
        <v/>
      </c>
      <c r="H298" s="22">
        <f>IF(B298="","",COUNTIFS(Eventos!$D$8:$D$47,"&lt;="&amp;B298,Eventos!$M$8:$M$47,"&gt;="&amp;B298))</f>
        <v/>
      </c>
    </row>
    <row r="299">
      <c r="B299" s="19">
        <f>IF(Meses!$C$8+291&gt;=EDATE(Meses!$C$8,10),"",Meses!$C$8+291)</f>
        <v/>
      </c>
      <c r="C299" s="21">
        <f>IF(B299="","",MID("LunMarMiéJueVieSábDom",(WEEKDAY(B299,2)-1)*3+1,3))</f>
        <v/>
      </c>
      <c r="D299" s="22">
        <f>IF(B299="","",IF(AND(WEEKDAY(B299,2)&lt;=5,B299&gt;=Panel!$E$5,B299&lt;=Panel!$G$5),1,0))</f>
        <v/>
      </c>
      <c r="E299" s="22">
        <f>IF(B299="","",IF(D299=1,IF(COUNTIFS(Eventos!$D$8:$D$47,"&lt;="&amp;B299,Eventos!$M$8:$M$47,"&gt;="&amp;B299,Eventos!$I$8:$I$47,"Sí")&gt;0,1,0),0))</f>
        <v/>
      </c>
      <c r="F299" s="22">
        <f>IF(B299="","",D299-E299)</f>
        <v/>
      </c>
      <c r="G299" s="32">
        <f>IF(B299="","",DATE(YEAR(B299),MONTH(B299),1))</f>
        <v/>
      </c>
      <c r="H299" s="22">
        <f>IF(B299="","",COUNTIFS(Eventos!$D$8:$D$47,"&lt;="&amp;B299,Eventos!$M$8:$M$47,"&gt;="&amp;B299))</f>
        <v/>
      </c>
    </row>
    <row r="300">
      <c r="B300" s="19">
        <f>IF(Meses!$C$8+292&gt;=EDATE(Meses!$C$8,10),"",Meses!$C$8+292)</f>
        <v/>
      </c>
      <c r="C300" s="21">
        <f>IF(B300="","",MID("LunMarMiéJueVieSábDom",(WEEKDAY(B300,2)-1)*3+1,3))</f>
        <v/>
      </c>
      <c r="D300" s="22">
        <f>IF(B300="","",IF(AND(WEEKDAY(B300,2)&lt;=5,B300&gt;=Panel!$E$5,B300&lt;=Panel!$G$5),1,0))</f>
        <v/>
      </c>
      <c r="E300" s="22">
        <f>IF(B300="","",IF(D300=1,IF(COUNTIFS(Eventos!$D$8:$D$47,"&lt;="&amp;B300,Eventos!$M$8:$M$47,"&gt;="&amp;B300,Eventos!$I$8:$I$47,"Sí")&gt;0,1,0),0))</f>
        <v/>
      </c>
      <c r="F300" s="22">
        <f>IF(B300="","",D300-E300)</f>
        <v/>
      </c>
      <c r="G300" s="32">
        <f>IF(B300="","",DATE(YEAR(B300),MONTH(B300),1))</f>
        <v/>
      </c>
      <c r="H300" s="22">
        <f>IF(B300="","",COUNTIFS(Eventos!$D$8:$D$47,"&lt;="&amp;B300,Eventos!$M$8:$M$47,"&gt;="&amp;B300))</f>
        <v/>
      </c>
    </row>
    <row r="301">
      <c r="B301" s="19">
        <f>IF(Meses!$C$8+293&gt;=EDATE(Meses!$C$8,10),"",Meses!$C$8+293)</f>
        <v/>
      </c>
      <c r="C301" s="21">
        <f>IF(B301="","",MID("LunMarMiéJueVieSábDom",(WEEKDAY(B301,2)-1)*3+1,3))</f>
        <v/>
      </c>
      <c r="D301" s="22">
        <f>IF(B301="","",IF(AND(WEEKDAY(B301,2)&lt;=5,B301&gt;=Panel!$E$5,B301&lt;=Panel!$G$5),1,0))</f>
        <v/>
      </c>
      <c r="E301" s="22">
        <f>IF(B301="","",IF(D301=1,IF(COUNTIFS(Eventos!$D$8:$D$47,"&lt;="&amp;B301,Eventos!$M$8:$M$47,"&gt;="&amp;B301,Eventos!$I$8:$I$47,"Sí")&gt;0,1,0),0))</f>
        <v/>
      </c>
      <c r="F301" s="22">
        <f>IF(B301="","",D301-E301)</f>
        <v/>
      </c>
      <c r="G301" s="32">
        <f>IF(B301="","",DATE(YEAR(B301),MONTH(B301),1))</f>
        <v/>
      </c>
      <c r="H301" s="22">
        <f>IF(B301="","",COUNTIFS(Eventos!$D$8:$D$47,"&lt;="&amp;B301,Eventos!$M$8:$M$47,"&gt;="&amp;B301))</f>
        <v/>
      </c>
    </row>
    <row r="302">
      <c r="B302" s="19">
        <f>IF(Meses!$C$8+294&gt;=EDATE(Meses!$C$8,10),"",Meses!$C$8+294)</f>
        <v/>
      </c>
      <c r="C302" s="21">
        <f>IF(B302="","",MID("LunMarMiéJueVieSábDom",(WEEKDAY(B302,2)-1)*3+1,3))</f>
        <v/>
      </c>
      <c r="D302" s="22">
        <f>IF(B302="","",IF(AND(WEEKDAY(B302,2)&lt;=5,B302&gt;=Panel!$E$5,B302&lt;=Panel!$G$5),1,0))</f>
        <v/>
      </c>
      <c r="E302" s="22">
        <f>IF(B302="","",IF(D302=1,IF(COUNTIFS(Eventos!$D$8:$D$47,"&lt;="&amp;B302,Eventos!$M$8:$M$47,"&gt;="&amp;B302,Eventos!$I$8:$I$47,"Sí")&gt;0,1,0),0))</f>
        <v/>
      </c>
      <c r="F302" s="22">
        <f>IF(B302="","",D302-E302)</f>
        <v/>
      </c>
      <c r="G302" s="32">
        <f>IF(B302="","",DATE(YEAR(B302),MONTH(B302),1))</f>
        <v/>
      </c>
      <c r="H302" s="22">
        <f>IF(B302="","",COUNTIFS(Eventos!$D$8:$D$47,"&lt;="&amp;B302,Eventos!$M$8:$M$47,"&gt;="&amp;B302))</f>
        <v/>
      </c>
    </row>
    <row r="303">
      <c r="B303" s="19">
        <f>IF(Meses!$C$8+295&gt;=EDATE(Meses!$C$8,10),"",Meses!$C$8+295)</f>
        <v/>
      </c>
      <c r="C303" s="21">
        <f>IF(B303="","",MID("LunMarMiéJueVieSábDom",(WEEKDAY(B303,2)-1)*3+1,3))</f>
        <v/>
      </c>
      <c r="D303" s="22">
        <f>IF(B303="","",IF(AND(WEEKDAY(B303,2)&lt;=5,B303&gt;=Panel!$E$5,B303&lt;=Panel!$G$5),1,0))</f>
        <v/>
      </c>
      <c r="E303" s="22">
        <f>IF(B303="","",IF(D303=1,IF(COUNTIFS(Eventos!$D$8:$D$47,"&lt;="&amp;B303,Eventos!$M$8:$M$47,"&gt;="&amp;B303,Eventos!$I$8:$I$47,"Sí")&gt;0,1,0),0))</f>
        <v/>
      </c>
      <c r="F303" s="22">
        <f>IF(B303="","",D303-E303)</f>
        <v/>
      </c>
      <c r="G303" s="32">
        <f>IF(B303="","",DATE(YEAR(B303),MONTH(B303),1))</f>
        <v/>
      </c>
      <c r="H303" s="22">
        <f>IF(B303="","",COUNTIFS(Eventos!$D$8:$D$47,"&lt;="&amp;B303,Eventos!$M$8:$M$47,"&gt;="&amp;B303))</f>
        <v/>
      </c>
    </row>
    <row r="304">
      <c r="B304" s="19">
        <f>IF(Meses!$C$8+296&gt;=EDATE(Meses!$C$8,10),"",Meses!$C$8+296)</f>
        <v/>
      </c>
      <c r="C304" s="21">
        <f>IF(B304="","",MID("LunMarMiéJueVieSábDom",(WEEKDAY(B304,2)-1)*3+1,3))</f>
        <v/>
      </c>
      <c r="D304" s="22">
        <f>IF(B304="","",IF(AND(WEEKDAY(B304,2)&lt;=5,B304&gt;=Panel!$E$5,B304&lt;=Panel!$G$5),1,0))</f>
        <v/>
      </c>
      <c r="E304" s="22">
        <f>IF(B304="","",IF(D304=1,IF(COUNTIFS(Eventos!$D$8:$D$47,"&lt;="&amp;B304,Eventos!$M$8:$M$47,"&gt;="&amp;B304,Eventos!$I$8:$I$47,"Sí")&gt;0,1,0),0))</f>
        <v/>
      </c>
      <c r="F304" s="22">
        <f>IF(B304="","",D304-E304)</f>
        <v/>
      </c>
      <c r="G304" s="32">
        <f>IF(B304="","",DATE(YEAR(B304),MONTH(B304),1))</f>
        <v/>
      </c>
      <c r="H304" s="22">
        <f>IF(B304="","",COUNTIFS(Eventos!$D$8:$D$47,"&lt;="&amp;B304,Eventos!$M$8:$M$47,"&gt;="&amp;B304))</f>
        <v/>
      </c>
    </row>
    <row r="305">
      <c r="B305" s="19">
        <f>IF(Meses!$C$8+297&gt;=EDATE(Meses!$C$8,10),"",Meses!$C$8+297)</f>
        <v/>
      </c>
      <c r="C305" s="21">
        <f>IF(B305="","",MID("LunMarMiéJueVieSábDom",(WEEKDAY(B305,2)-1)*3+1,3))</f>
        <v/>
      </c>
      <c r="D305" s="22">
        <f>IF(B305="","",IF(AND(WEEKDAY(B305,2)&lt;=5,B305&gt;=Panel!$E$5,B305&lt;=Panel!$G$5),1,0))</f>
        <v/>
      </c>
      <c r="E305" s="22">
        <f>IF(B305="","",IF(D305=1,IF(COUNTIFS(Eventos!$D$8:$D$47,"&lt;="&amp;B305,Eventos!$M$8:$M$47,"&gt;="&amp;B305,Eventos!$I$8:$I$47,"Sí")&gt;0,1,0),0))</f>
        <v/>
      </c>
      <c r="F305" s="22">
        <f>IF(B305="","",D305-E305)</f>
        <v/>
      </c>
      <c r="G305" s="32">
        <f>IF(B305="","",DATE(YEAR(B305),MONTH(B305),1))</f>
        <v/>
      </c>
      <c r="H305" s="22">
        <f>IF(B305="","",COUNTIFS(Eventos!$D$8:$D$47,"&lt;="&amp;B305,Eventos!$M$8:$M$47,"&gt;="&amp;B305))</f>
        <v/>
      </c>
    </row>
    <row r="306">
      <c r="B306" s="19">
        <f>IF(Meses!$C$8+298&gt;=EDATE(Meses!$C$8,10),"",Meses!$C$8+298)</f>
        <v/>
      </c>
      <c r="C306" s="21">
        <f>IF(B306="","",MID("LunMarMiéJueVieSábDom",(WEEKDAY(B306,2)-1)*3+1,3))</f>
        <v/>
      </c>
      <c r="D306" s="22">
        <f>IF(B306="","",IF(AND(WEEKDAY(B306,2)&lt;=5,B306&gt;=Panel!$E$5,B306&lt;=Panel!$G$5),1,0))</f>
        <v/>
      </c>
      <c r="E306" s="22">
        <f>IF(B306="","",IF(D306=1,IF(COUNTIFS(Eventos!$D$8:$D$47,"&lt;="&amp;B306,Eventos!$M$8:$M$47,"&gt;="&amp;B306,Eventos!$I$8:$I$47,"Sí")&gt;0,1,0),0))</f>
        <v/>
      </c>
      <c r="F306" s="22">
        <f>IF(B306="","",D306-E306)</f>
        <v/>
      </c>
      <c r="G306" s="32">
        <f>IF(B306="","",DATE(YEAR(B306),MONTH(B306),1))</f>
        <v/>
      </c>
      <c r="H306" s="22">
        <f>IF(B306="","",COUNTIFS(Eventos!$D$8:$D$47,"&lt;="&amp;B306,Eventos!$M$8:$M$47,"&gt;="&amp;B306))</f>
        <v/>
      </c>
    </row>
    <row r="307">
      <c r="B307" s="19">
        <f>IF(Meses!$C$8+299&gt;=EDATE(Meses!$C$8,10),"",Meses!$C$8+299)</f>
        <v/>
      </c>
      <c r="C307" s="21">
        <f>IF(B307="","",MID("LunMarMiéJueVieSábDom",(WEEKDAY(B307,2)-1)*3+1,3))</f>
        <v/>
      </c>
      <c r="D307" s="22">
        <f>IF(B307="","",IF(AND(WEEKDAY(B307,2)&lt;=5,B307&gt;=Panel!$E$5,B307&lt;=Panel!$G$5),1,0))</f>
        <v/>
      </c>
      <c r="E307" s="22">
        <f>IF(B307="","",IF(D307=1,IF(COUNTIFS(Eventos!$D$8:$D$47,"&lt;="&amp;B307,Eventos!$M$8:$M$47,"&gt;="&amp;B307,Eventos!$I$8:$I$47,"Sí")&gt;0,1,0),0))</f>
        <v/>
      </c>
      <c r="F307" s="22">
        <f>IF(B307="","",D307-E307)</f>
        <v/>
      </c>
      <c r="G307" s="32">
        <f>IF(B307="","",DATE(YEAR(B307),MONTH(B307),1))</f>
        <v/>
      </c>
      <c r="H307" s="22">
        <f>IF(B307="","",COUNTIFS(Eventos!$D$8:$D$47,"&lt;="&amp;B307,Eventos!$M$8:$M$47,"&gt;="&amp;B307))</f>
        <v/>
      </c>
    </row>
    <row r="308">
      <c r="B308" s="19">
        <f>IF(Meses!$C$8+300&gt;=EDATE(Meses!$C$8,10),"",Meses!$C$8+300)</f>
        <v/>
      </c>
      <c r="C308" s="21">
        <f>IF(B308="","",MID("LunMarMiéJueVieSábDom",(WEEKDAY(B308,2)-1)*3+1,3))</f>
        <v/>
      </c>
      <c r="D308" s="22">
        <f>IF(B308="","",IF(AND(WEEKDAY(B308,2)&lt;=5,B308&gt;=Panel!$E$5,B308&lt;=Panel!$G$5),1,0))</f>
        <v/>
      </c>
      <c r="E308" s="22">
        <f>IF(B308="","",IF(D308=1,IF(COUNTIFS(Eventos!$D$8:$D$47,"&lt;="&amp;B308,Eventos!$M$8:$M$47,"&gt;="&amp;B308,Eventos!$I$8:$I$47,"Sí")&gt;0,1,0),0))</f>
        <v/>
      </c>
      <c r="F308" s="22">
        <f>IF(B308="","",D308-E308)</f>
        <v/>
      </c>
      <c r="G308" s="32">
        <f>IF(B308="","",DATE(YEAR(B308),MONTH(B308),1))</f>
        <v/>
      </c>
      <c r="H308" s="22">
        <f>IF(B308="","",COUNTIFS(Eventos!$D$8:$D$47,"&lt;="&amp;B308,Eventos!$M$8:$M$47,"&gt;="&amp;B308))</f>
        <v/>
      </c>
    </row>
    <row r="309">
      <c r="B309" s="19">
        <f>IF(Meses!$C$8+301&gt;=EDATE(Meses!$C$8,10),"",Meses!$C$8+301)</f>
        <v/>
      </c>
      <c r="C309" s="21">
        <f>IF(B309="","",MID("LunMarMiéJueVieSábDom",(WEEKDAY(B309,2)-1)*3+1,3))</f>
        <v/>
      </c>
      <c r="D309" s="22">
        <f>IF(B309="","",IF(AND(WEEKDAY(B309,2)&lt;=5,B309&gt;=Panel!$E$5,B309&lt;=Panel!$G$5),1,0))</f>
        <v/>
      </c>
      <c r="E309" s="22">
        <f>IF(B309="","",IF(D309=1,IF(COUNTIFS(Eventos!$D$8:$D$47,"&lt;="&amp;B309,Eventos!$M$8:$M$47,"&gt;="&amp;B309,Eventos!$I$8:$I$47,"Sí")&gt;0,1,0),0))</f>
        <v/>
      </c>
      <c r="F309" s="22">
        <f>IF(B309="","",D309-E309)</f>
        <v/>
      </c>
      <c r="G309" s="32">
        <f>IF(B309="","",DATE(YEAR(B309),MONTH(B309),1))</f>
        <v/>
      </c>
      <c r="H309" s="22">
        <f>IF(B309="","",COUNTIFS(Eventos!$D$8:$D$47,"&lt;="&amp;B309,Eventos!$M$8:$M$47,"&gt;="&amp;B309))</f>
        <v/>
      </c>
    </row>
    <row r="310">
      <c r="B310" s="19">
        <f>IF(Meses!$C$8+302&gt;=EDATE(Meses!$C$8,10),"",Meses!$C$8+302)</f>
        <v/>
      </c>
      <c r="C310" s="21">
        <f>IF(B310="","",MID("LunMarMiéJueVieSábDom",(WEEKDAY(B310,2)-1)*3+1,3))</f>
        <v/>
      </c>
      <c r="D310" s="22">
        <f>IF(B310="","",IF(AND(WEEKDAY(B310,2)&lt;=5,B310&gt;=Panel!$E$5,B310&lt;=Panel!$G$5),1,0))</f>
        <v/>
      </c>
      <c r="E310" s="22">
        <f>IF(B310="","",IF(D310=1,IF(COUNTIFS(Eventos!$D$8:$D$47,"&lt;="&amp;B310,Eventos!$M$8:$M$47,"&gt;="&amp;B310,Eventos!$I$8:$I$47,"Sí")&gt;0,1,0),0))</f>
        <v/>
      </c>
      <c r="F310" s="22">
        <f>IF(B310="","",D310-E310)</f>
        <v/>
      </c>
      <c r="G310" s="32">
        <f>IF(B310="","",DATE(YEAR(B310),MONTH(B310),1))</f>
        <v/>
      </c>
      <c r="H310" s="22">
        <f>IF(B310="","",COUNTIFS(Eventos!$D$8:$D$47,"&lt;="&amp;B310,Eventos!$M$8:$M$47,"&gt;="&amp;B310))</f>
        <v/>
      </c>
    </row>
    <row r="311">
      <c r="B311" s="19">
        <f>IF(Meses!$C$8+303&gt;=EDATE(Meses!$C$8,10),"",Meses!$C$8+303)</f>
        <v/>
      </c>
      <c r="C311" s="21">
        <f>IF(B311="","",MID("LunMarMiéJueVieSábDom",(WEEKDAY(B311,2)-1)*3+1,3))</f>
        <v/>
      </c>
      <c r="D311" s="22">
        <f>IF(B311="","",IF(AND(WEEKDAY(B311,2)&lt;=5,B311&gt;=Panel!$E$5,B311&lt;=Panel!$G$5),1,0))</f>
        <v/>
      </c>
      <c r="E311" s="22">
        <f>IF(B311="","",IF(D311=1,IF(COUNTIFS(Eventos!$D$8:$D$47,"&lt;="&amp;B311,Eventos!$M$8:$M$47,"&gt;="&amp;B311,Eventos!$I$8:$I$47,"Sí")&gt;0,1,0),0))</f>
        <v/>
      </c>
      <c r="F311" s="22">
        <f>IF(B311="","",D311-E311)</f>
        <v/>
      </c>
      <c r="G311" s="32">
        <f>IF(B311="","",DATE(YEAR(B311),MONTH(B311),1))</f>
        <v/>
      </c>
      <c r="H311" s="22">
        <f>IF(B311="","",COUNTIFS(Eventos!$D$8:$D$47,"&lt;="&amp;B311,Eventos!$M$8:$M$47,"&gt;="&amp;B311))</f>
        <v/>
      </c>
    </row>
    <row r="312">
      <c r="B312" s="19">
        <f>IF(Meses!$C$8+304&gt;=EDATE(Meses!$C$8,10),"",Meses!$C$8+304)</f>
        <v/>
      </c>
      <c r="C312" s="21">
        <f>IF(B312="","",MID("LunMarMiéJueVieSábDom",(WEEKDAY(B312,2)-1)*3+1,3))</f>
        <v/>
      </c>
      <c r="D312" s="22">
        <f>IF(B312="","",IF(AND(WEEKDAY(B312,2)&lt;=5,B312&gt;=Panel!$E$5,B312&lt;=Panel!$G$5),1,0))</f>
        <v/>
      </c>
      <c r="E312" s="22">
        <f>IF(B312="","",IF(D312=1,IF(COUNTIFS(Eventos!$D$8:$D$47,"&lt;="&amp;B312,Eventos!$M$8:$M$47,"&gt;="&amp;B312,Eventos!$I$8:$I$47,"Sí")&gt;0,1,0),0))</f>
        <v/>
      </c>
      <c r="F312" s="22">
        <f>IF(B312="","",D312-E312)</f>
        <v/>
      </c>
      <c r="G312" s="32">
        <f>IF(B312="","",DATE(YEAR(B312),MONTH(B312),1))</f>
        <v/>
      </c>
      <c r="H312" s="22">
        <f>IF(B312="","",COUNTIFS(Eventos!$D$8:$D$47,"&lt;="&amp;B312,Eventos!$M$8:$M$47,"&gt;="&amp;B312))</f>
        <v/>
      </c>
    </row>
    <row r="313">
      <c r="B313" s="19">
        <f>IF(Meses!$C$8+305&gt;=EDATE(Meses!$C$8,10),"",Meses!$C$8+305)</f>
        <v/>
      </c>
      <c r="C313" s="21">
        <f>IF(B313="","",MID("LunMarMiéJueVieSábDom",(WEEKDAY(B313,2)-1)*3+1,3))</f>
        <v/>
      </c>
      <c r="D313" s="22">
        <f>IF(B313="","",IF(AND(WEEKDAY(B313,2)&lt;=5,B313&gt;=Panel!$E$5,B313&lt;=Panel!$G$5),1,0))</f>
        <v/>
      </c>
      <c r="E313" s="22">
        <f>IF(B313="","",IF(D313=1,IF(COUNTIFS(Eventos!$D$8:$D$47,"&lt;="&amp;B313,Eventos!$M$8:$M$47,"&gt;="&amp;B313,Eventos!$I$8:$I$47,"Sí")&gt;0,1,0),0))</f>
        <v/>
      </c>
      <c r="F313" s="22">
        <f>IF(B313="","",D313-E313)</f>
        <v/>
      </c>
      <c r="G313" s="32">
        <f>IF(B313="","",DATE(YEAR(B313),MONTH(B313),1))</f>
        <v/>
      </c>
      <c r="H313" s="22">
        <f>IF(B313="","",COUNTIFS(Eventos!$D$8:$D$47,"&lt;="&amp;B313,Eventos!$M$8:$M$47,"&gt;="&amp;B313))</f>
        <v/>
      </c>
    </row>
    <row r="314">
      <c r="B314" s="19">
        <f>IF(Meses!$C$8+306&gt;=EDATE(Meses!$C$8,10),"",Meses!$C$8+306)</f>
        <v/>
      </c>
      <c r="C314" s="21">
        <f>IF(B314="","",MID("LunMarMiéJueVieSábDom",(WEEKDAY(B314,2)-1)*3+1,3))</f>
        <v/>
      </c>
      <c r="D314" s="22">
        <f>IF(B314="","",IF(AND(WEEKDAY(B314,2)&lt;=5,B314&gt;=Panel!$E$5,B314&lt;=Panel!$G$5),1,0))</f>
        <v/>
      </c>
      <c r="E314" s="22">
        <f>IF(B314="","",IF(D314=1,IF(COUNTIFS(Eventos!$D$8:$D$47,"&lt;="&amp;B314,Eventos!$M$8:$M$47,"&gt;="&amp;B314,Eventos!$I$8:$I$47,"Sí")&gt;0,1,0),0))</f>
        <v/>
      </c>
      <c r="F314" s="22">
        <f>IF(B314="","",D314-E314)</f>
        <v/>
      </c>
      <c r="G314" s="32">
        <f>IF(B314="","",DATE(YEAR(B314),MONTH(B314),1))</f>
        <v/>
      </c>
      <c r="H314" s="22">
        <f>IF(B314="","",COUNTIFS(Eventos!$D$8:$D$47,"&lt;="&amp;B314,Eventos!$M$8:$M$47,"&gt;="&amp;B314))</f>
        <v/>
      </c>
    </row>
    <row r="315">
      <c r="B315" s="19">
        <f>IF(Meses!$C$8+307&gt;=EDATE(Meses!$C$8,10),"",Meses!$C$8+307)</f>
        <v/>
      </c>
      <c r="C315" s="21">
        <f>IF(B315="","",MID("LunMarMiéJueVieSábDom",(WEEKDAY(B315,2)-1)*3+1,3))</f>
        <v/>
      </c>
      <c r="D315" s="22">
        <f>IF(B315="","",IF(AND(WEEKDAY(B315,2)&lt;=5,B315&gt;=Panel!$E$5,B315&lt;=Panel!$G$5),1,0))</f>
        <v/>
      </c>
      <c r="E315" s="22">
        <f>IF(B315="","",IF(D315=1,IF(COUNTIFS(Eventos!$D$8:$D$47,"&lt;="&amp;B315,Eventos!$M$8:$M$47,"&gt;="&amp;B315,Eventos!$I$8:$I$47,"Sí")&gt;0,1,0),0))</f>
        <v/>
      </c>
      <c r="F315" s="22">
        <f>IF(B315="","",D315-E315)</f>
        <v/>
      </c>
      <c r="G315" s="32">
        <f>IF(B315="","",DATE(YEAR(B315),MONTH(B315),1))</f>
        <v/>
      </c>
      <c r="H315" s="22">
        <f>IF(B315="","",COUNTIFS(Eventos!$D$8:$D$47,"&lt;="&amp;B315,Eventos!$M$8:$M$47,"&gt;="&amp;B315))</f>
        <v/>
      </c>
    </row>
    <row r="316">
      <c r="B316" s="19">
        <f>IF(Meses!$C$8+308&gt;=EDATE(Meses!$C$8,10),"",Meses!$C$8+308)</f>
        <v/>
      </c>
      <c r="C316" s="21">
        <f>IF(B316="","",MID("LunMarMiéJueVieSábDom",(WEEKDAY(B316,2)-1)*3+1,3))</f>
        <v/>
      </c>
      <c r="D316" s="22">
        <f>IF(B316="","",IF(AND(WEEKDAY(B316,2)&lt;=5,B316&gt;=Panel!$E$5,B316&lt;=Panel!$G$5),1,0))</f>
        <v/>
      </c>
      <c r="E316" s="22">
        <f>IF(B316="","",IF(D316=1,IF(COUNTIFS(Eventos!$D$8:$D$47,"&lt;="&amp;B316,Eventos!$M$8:$M$47,"&gt;="&amp;B316,Eventos!$I$8:$I$47,"Sí")&gt;0,1,0),0))</f>
        <v/>
      </c>
      <c r="F316" s="22">
        <f>IF(B316="","",D316-E316)</f>
        <v/>
      </c>
      <c r="G316" s="32">
        <f>IF(B316="","",DATE(YEAR(B316),MONTH(B316),1))</f>
        <v/>
      </c>
      <c r="H316" s="22">
        <f>IF(B316="","",COUNTIFS(Eventos!$D$8:$D$47,"&lt;="&amp;B316,Eventos!$M$8:$M$47,"&gt;="&amp;B316))</f>
        <v/>
      </c>
    </row>
    <row r="317">
      <c r="B317" s="19">
        <f>IF(Meses!$C$8+309&gt;=EDATE(Meses!$C$8,10),"",Meses!$C$8+309)</f>
        <v/>
      </c>
      <c r="C317" s="21">
        <f>IF(B317="","",MID("LunMarMiéJueVieSábDom",(WEEKDAY(B317,2)-1)*3+1,3))</f>
        <v/>
      </c>
      <c r="D317" s="22">
        <f>IF(B317="","",IF(AND(WEEKDAY(B317,2)&lt;=5,B317&gt;=Panel!$E$5,B317&lt;=Panel!$G$5),1,0))</f>
        <v/>
      </c>
      <c r="E317" s="22">
        <f>IF(B317="","",IF(D317=1,IF(COUNTIFS(Eventos!$D$8:$D$47,"&lt;="&amp;B317,Eventos!$M$8:$M$47,"&gt;="&amp;B317,Eventos!$I$8:$I$47,"Sí")&gt;0,1,0),0))</f>
        <v/>
      </c>
      <c r="F317" s="22">
        <f>IF(B317="","",D317-E317)</f>
        <v/>
      </c>
      <c r="G317" s="32">
        <f>IF(B317="","",DATE(YEAR(B317),MONTH(B317),1))</f>
        <v/>
      </c>
      <c r="H317" s="22">
        <f>IF(B317="","",COUNTIFS(Eventos!$D$8:$D$47,"&lt;="&amp;B317,Eventos!$M$8:$M$47,"&gt;="&amp;B317))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8:H317">
    <cfRule type="expression" priority="1" dxfId="1">
      <formula>$E8=1</formula>
    </cfRule>
    <cfRule type="expression" priority="2" dxfId="3">
      <formula>$F8=1</formula>
    </cfRule>
    <cfRule type="expression" priority="3" dxfId="2">
      <formula>AND($B8&lt;&gt;"",WEEKDAY($B8,2)&gt;5)</formula>
    </cfRule>
  </conditionalFormatting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Calendario escolar del curso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33" t="inlineStr">
        <is>
          <t>1.  Abre la hoja «Panel» y escribe en las celdas crema el curso (C5), el primer día de clases (E5) y el último día de clases (G5).</t>
        </is>
      </c>
    </row>
    <row r="7" ht="30" customHeight="1">
      <c r="B7" s="33" t="inlineStr">
        <is>
          <t>2.  Si quieres, cambia el plazo de aviso (G6, 7 días por defecto): los eventos que caigan dentro de ese plazo se pintan en ámbar.</t>
        </is>
      </c>
    </row>
    <row r="8" ht="30" customHeight="1">
      <c r="B8" s="33" t="inlineStr">
        <is>
          <t>3.  Ve a «Eventos» y añade una fila por cada hito: nombre, tipo (desplegable), fecha «Desde» y, si dura varios días, «Hasta». Añade también a quién afecta.</t>
        </is>
      </c>
    </row>
    <row r="9" ht="30" customHeight="1">
      <c r="B9" s="33" t="inlineStr">
        <is>
          <t>4.  Usa los tipos «Festivo», «Vacaciones» o «Día sin clase» para los días en que no hay clase: restan automáticamente días lectivos del mes correspondiente.</t>
        </is>
      </c>
    </row>
    <row r="10" ht="30" customHeight="1">
      <c r="B10" s="33" t="inlineStr">
        <is>
          <t>5.  Usa «Evaluación», «Entrega de notas», «Excursión», «Reunión de familias» o «Evento del centro» para el resto: se cuentan pero no restan días lectivos.</t>
        </is>
      </c>
    </row>
    <row r="11" ht="30" customHeight="1">
      <c r="B11" s="33" t="inlineStr">
        <is>
          <t>6.  Consulta «Meses» para ver los días lectivos de cada mes, cuántos van ya pasados y cuántos eventos, evaluaciones y excursiones hay.</t>
        </is>
      </c>
    </row>
    <row r="12" ht="30" customHeight="1">
      <c r="B12" s="33" t="inlineStr">
        <is>
          <t>7.  Mira el «Panel» cada semana: días lectivos que quedan, % de curso completado, cuenta atrás al próximo evento, próximo día sin clase y próxima evaluación.</t>
        </is>
      </c>
    </row>
    <row r="13" ht="30" customHeight="1">
      <c r="B13" s="33" t="inlineStr">
        <is>
          <t>8.  Para simular otra fecha (por ejemplo, para preparar la programación), escribe una fecha en «Hoy (opcional)» (C6 del Panel). Déjala vacía para usar la fecha actual.</t>
        </is>
      </c>
    </row>
    <row r="15">
      <c r="B15" s="13" t="inlineStr">
        <is>
          <t>CONSEJOS</t>
        </is>
      </c>
    </row>
    <row r="16" ht="30" customHeight="1">
      <c r="B16" s="33" t="inlineStr">
        <is>
          <t>•  La hoja «Días» calcula una fila por día natural (hasta 10 meses desde el mes de inicio) y marca los lectivos; no hace falta editarla.</t>
        </is>
      </c>
    </row>
    <row r="17" ht="30" customHeight="1">
      <c r="B17" s="33" t="inlineStr">
        <is>
          <t>•  Los datos de ejemplo (fechas, festivos, vacaciones, excursiones) son ficticios y orientativos; sustitúyelos por los de tu centro.</t>
        </is>
      </c>
    </row>
    <row r="18" ht="30" customHeight="1">
      <c r="B18" s="33" t="inlineStr">
        <is>
          <t>•  Los tipos de evento están en la hoja oculta «Listas» (clic derecho &gt; Mostrar). La columna B indica si el tipo resta día lectivo (1) o no (0).</t>
        </is>
      </c>
    </row>
    <row r="19" ht="30" customHeight="1">
      <c r="B19" s="33" t="inlineStr">
        <is>
          <t>•  Las hojas están protegidas sin contraseña: Revisar &gt; Desproteger hoja si quieres ampliar filas o modificar fórmulas. Las columnas ocultas de «Eventos» son auxiliares.</t>
        </is>
      </c>
    </row>
    <row r="21">
      <c r="B21" s="24" t="inlineStr">
        <is>
          <t>Las celdas con fondo crema y texto azul son para rellenar; las verdes se calculan solas.</t>
        </is>
      </c>
    </row>
    <row r="23" ht="44" customHeight="1">
      <c r="B23" s="34" t="inlineStr">
        <is>
          <t>Aviso: los festivos y las vacaciones del ejemplo no son oficiales. Introduce siempre las fechas que fije el calendario escolar de tu comunidad autónoma y de tu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Resta día lectivo (1=sí)</t>
        </is>
      </c>
      <c r="C1" t="inlineStr">
        <is>
          <t>Mes</t>
        </is>
      </c>
    </row>
    <row r="2">
      <c r="A2" t="inlineStr">
        <is>
          <t>Festivo</t>
        </is>
      </c>
      <c r="B2" t="n">
        <v>1</v>
      </c>
      <c r="C2" t="inlineStr">
        <is>
          <t>Enero</t>
        </is>
      </c>
    </row>
    <row r="3">
      <c r="A3" t="inlineStr">
        <is>
          <t>Vacaciones</t>
        </is>
      </c>
      <c r="B3" t="n">
        <v>1</v>
      </c>
      <c r="C3" t="inlineStr">
        <is>
          <t>Febrero</t>
        </is>
      </c>
    </row>
    <row r="4">
      <c r="A4" t="inlineStr">
        <is>
          <t>Día sin clase</t>
        </is>
      </c>
      <c r="B4" t="n">
        <v>1</v>
      </c>
      <c r="C4" t="inlineStr">
        <is>
          <t>Marzo</t>
        </is>
      </c>
    </row>
    <row r="5">
      <c r="A5" t="inlineStr">
        <is>
          <t>Evaluación</t>
        </is>
      </c>
      <c r="B5" t="n">
        <v>0</v>
      </c>
      <c r="C5" t="inlineStr">
        <is>
          <t>Abril</t>
        </is>
      </c>
    </row>
    <row r="6">
      <c r="A6" t="inlineStr">
        <is>
          <t>Entrega de notas</t>
        </is>
      </c>
      <c r="B6" t="n">
        <v>0</v>
      </c>
      <c r="C6" t="inlineStr">
        <is>
          <t>Mayo</t>
        </is>
      </c>
    </row>
    <row r="7">
      <c r="A7" t="inlineStr">
        <is>
          <t>Excursión</t>
        </is>
      </c>
      <c r="B7" t="n">
        <v>0</v>
      </c>
      <c r="C7" t="inlineStr">
        <is>
          <t>Junio</t>
        </is>
      </c>
    </row>
    <row r="8">
      <c r="A8" t="inlineStr">
        <is>
          <t>Reunión de familias</t>
        </is>
      </c>
      <c r="B8" t="n">
        <v>0</v>
      </c>
      <c r="C8" t="inlineStr">
        <is>
          <t>Julio</t>
        </is>
      </c>
    </row>
    <row r="9">
      <c r="A9" t="inlineStr">
        <is>
          <t>Evento del centro</t>
        </is>
      </c>
      <c r="B9" t="n">
        <v>0</v>
      </c>
      <c r="C9" t="inlineStr">
        <is>
          <t>Agosto</t>
        </is>
      </c>
    </row>
    <row r="10">
      <c r="C10" t="inlineStr">
        <is>
          <t>Septiembre</t>
        </is>
      </c>
    </row>
    <row r="11">
      <c r="C11" t="inlineStr">
        <is>
          <t>Octubre</t>
        </is>
      </c>
    </row>
    <row r="12">
      <c r="C12" t="inlineStr">
        <is>
          <t>Noviembre</t>
        </is>
      </c>
    </row>
    <row r="13">
      <c r="C13" t="inlineStr">
        <is>
          <t>Diciembre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2026-10-03T09:45:44Z</dcterms:created>
  <dcterms:modified xmlns:dcterms="http://purl.org/dc/terms/" xmlns:xsi="http://www.w3.org/2001/XMLSchema-instance" xsi:type="dcterms:W3CDTF">2026-10-03T09:45:44Z</dcterms:modified>
</cp:coreProperties>
</file>