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xcursión" sheetId="2" state="visible" r:id="rId2"/>
    <sheet xmlns:r="http://schemas.openxmlformats.org/officeDocument/2006/relationships" name="Alumnos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hh:mm"/>
    <numFmt numFmtId="167" formatCode="#,##0.00 &quot;€&quot;"/>
    <numFmt numFmtId="168" formatCode="0.000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FFFFFF"/>
      <sz val="9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167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" fontId="9" fillId="0" borderId="1" applyAlignment="1" pivotButton="0" quotePrefix="0" xfId="0">
      <alignment horizontal="center" vertical="center"/>
    </xf>
    <xf numFmtId="9" fontId="9" fillId="0" borderId="1" applyAlignment="1" pivotButton="0" quotePrefix="0" xfId="0">
      <alignment horizontal="center" vertical="center"/>
    </xf>
    <xf numFmtId="167" fontId="9" fillId="0" borderId="1" applyAlignment="1" pivotButton="0" quotePrefix="0" xfId="0">
      <alignment vertical="center"/>
    </xf>
    <xf numFmtId="0" fontId="11" fillId="5" borderId="1" applyAlignment="1" pivotButton="0" quotePrefix="0" xfId="0">
      <alignment vertical="center"/>
    </xf>
    <xf numFmtId="1" fontId="11" fillId="5" borderId="1" applyAlignment="1" pivotButton="0" quotePrefix="0" xfId="0">
      <alignment vertical="center"/>
    </xf>
    <xf numFmtId="9" fontId="11" fillId="5" borderId="1" applyAlignment="1" pivotButton="0" quotePrefix="0" xfId="0">
      <alignment vertical="center"/>
    </xf>
    <xf numFmtId="167" fontId="11" fillId="5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 vertical="center"/>
    </xf>
    <xf numFmtId="168" fontId="14" fillId="0" borderId="1" applyAlignment="1" pivotButton="0" quotePrefix="0" xfId="0">
      <alignment vertical="center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  <xf numFmtId="1" fontId="14" fillId="0" borderId="1" applyAlignment="1" pivotButton="0" quotePrefix="0" xfId="0">
      <alignment vertical="center"/>
    </xf>
    <xf numFmtId="0" fontId="9" fillId="6" borderId="1" applyAlignment="1" pivotButton="0" quotePrefix="0" xfId="0">
      <alignment vertical="top" wrapText="1" indent="1"/>
    </xf>
    <xf numFmtId="0" fontId="3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horizontal="left" vertical="center" indent="1"/>
      <protection locked="0" hidden="0"/>
    </xf>
    <xf numFmtId="0" fontId="2" fillId="0" borderId="0" applyAlignment="1" pivotButton="0" quotePrefix="0" xfId="0">
      <alignment vertical="center" wrapText="1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1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7" fontId="9" fillId="0" borderId="1" applyAlignment="1" pivotButton="0" quotePrefix="0" xfId="0">
      <alignment horizontal="right" vertical="center"/>
    </xf>
    <xf numFmtId="167" fontId="4" fillId="3" borderId="1" applyAlignment="1" applyProtection="1" pivotButton="0" quotePrefix="0" xfId="0">
      <alignment horizontal="right" vertical="center"/>
      <protection locked="0" hidden="0"/>
    </xf>
    <xf numFmtId="167" fontId="6" fillId="0" borderId="1" applyAlignment="1" pivotButton="0" quotePrefix="0" xfId="0">
      <alignment horizontal="right" vertical="center"/>
    </xf>
    <xf numFmtId="168" fontId="10" fillId="0" borderId="1" applyAlignment="1" pivotButton="0" quotePrefix="0" xfId="0">
      <alignment vertical="center"/>
    </xf>
    <xf numFmtId="1" fontId="10" fillId="0" borderId="1" applyAlignment="1" pivotButton="0" quotePrefix="0" xfId="0">
      <alignment vertical="center"/>
    </xf>
    <xf numFmtId="165" fontId="9" fillId="0" borderId="1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Alumnos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'Panel'!$B$16:$B$20</f>
            </numRef>
          </cat>
          <val>
            <numRef>
              <f>'Panel'!$C$16:$C$20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estimado por concepto</a:t>
            </a:r>
          </a:p>
        </rich>
      </tx>
    </title>
    <plotArea>
      <pieChart>
        <varyColors val="1"/>
        <ser>
          <idx val="0"/>
          <order val="0"/>
          <tx>
            <strRef>
              <f>'Panel'!C53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'Panel'!$B$54:$B$57</f>
            </numRef>
          </cat>
          <val>
            <numRef>
              <f>'Panel'!$C$54:$C$57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13</row>
      <rowOff>0</rowOff>
    </from>
    <ext cx="4536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51</row>
      <rowOff>0</rowOff>
    </from>
    <ext cx="41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5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  <col width="16" customWidth="1" min="8" max="8"/>
    <col width="16" customWidth="1" min="9" max="9"/>
    <col width="3" customWidth="1" min="10" max="10"/>
    <col hidden="1" width="3" customWidth="1" min="11" max="11"/>
    <col hidden="1" width="13" customWidth="1" min="12" max="12"/>
  </cols>
  <sheetData>
    <row r="2" ht="34" customHeight="1">
      <c r="B2" s="1" t="inlineStr">
        <is>
          <t>Panel de la excursión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Autorizaciones, pagos, costes y tareas pendientes de un vistazo.</t>
        </is>
      </c>
    </row>
    <row r="5" ht="30" customHeight="1">
      <c r="B5" s="4" t="inlineStr">
        <is>
          <t>ALUMNOS EN LISTA</t>
        </is>
      </c>
      <c r="C5" s="4" t="inlineStr">
        <is>
          <t>AUTORIZADOS</t>
        </is>
      </c>
      <c r="E5" s="4" t="inlineStr">
        <is>
          <t>FALTAN AUTORIZACIÓN</t>
        </is>
      </c>
      <c r="G5" s="4" t="inlineStr">
        <is>
          <t>NO ASISTEN</t>
        </is>
      </c>
      <c r="I5" s="4" t="inlineStr">
        <is>
          <t>TODO LISTO</t>
        </is>
      </c>
    </row>
    <row r="6" ht="36" customHeight="1">
      <c r="B6" s="5">
        <f>'Excursión'!C23</f>
        <v/>
      </c>
      <c r="C6" s="5">
        <f>'Excursión'!C24</f>
        <v/>
      </c>
      <c r="E6" s="5">
        <f>COUNTIF(Alumnos!$J$6:$J$45,"Falta autorización")</f>
        <v/>
      </c>
      <c r="G6" s="5">
        <f>COUNTIF(Alumnos!$J$6:$J$45,"No asiste")</f>
        <v/>
      </c>
      <c r="I6" s="5">
        <f>COUNTIF(Alumnos!$J$6:$J$45,"Listo")</f>
        <v/>
      </c>
    </row>
    <row r="8" ht="30" customHeight="1">
      <c r="B8" s="4" t="inlineStr">
        <is>
          <t>RECAUDADO</t>
        </is>
      </c>
      <c r="C8" s="4" t="inlineStr">
        <is>
          <t>PENDIENTE DE COBRO</t>
        </is>
      </c>
      <c r="E8" s="4" t="inlineStr">
        <is>
          <t>CUOTA POR ALUMNO</t>
        </is>
      </c>
      <c r="G8" s="4" t="inlineStr">
        <is>
          <t>CUOTA SI VAN SOLO LOS AUTORIZADOS</t>
        </is>
      </c>
      <c r="I8" s="4" t="inlineStr">
        <is>
          <t>COSTE TOTAL ESTIMADO</t>
        </is>
      </c>
    </row>
    <row r="9" ht="36" customHeight="1">
      <c r="B9" s="6">
        <f>SUM(Alumnos!$G$6:$G$45)</f>
        <v/>
      </c>
      <c r="C9" s="6">
        <f>SUM(Alumnos!$I$6:$I$45)</f>
        <v/>
      </c>
      <c r="E9" s="6">
        <f>'Excursión'!C28</f>
        <v/>
      </c>
      <c r="G9" s="6">
        <f>'Excursión'!C29</f>
        <v/>
      </c>
      <c r="I9" s="6">
        <f>'Excursión'!C30</f>
        <v/>
      </c>
    </row>
    <row r="11" ht="30" customHeight="1">
      <c r="B11" s="4" t="inlineStr">
        <is>
          <t>SALDO PREVISTO</t>
        </is>
      </c>
      <c r="C11" s="4" t="inlineStr">
        <is>
          <t>CON ALERGIAS O NECESIDADES</t>
        </is>
      </c>
      <c r="E11" s="4" t="inlineStr">
        <is>
          <t>CHECKLIST HECHO</t>
        </is>
      </c>
      <c r="G11" s="4" t="inlineStr">
        <is>
          <t>ACOMPAÑANTES</t>
        </is>
      </c>
      <c r="I11" s="4" t="inlineStr">
        <is>
          <t>DÍAS PARA LA SALIDA</t>
        </is>
      </c>
    </row>
    <row r="12" ht="36" customHeight="1">
      <c r="B12" s="6">
        <f>'Excursión'!C32</f>
        <v/>
      </c>
      <c r="C12" s="5">
        <f>SUMPRODUCT((Alumnos!$D$6:$D$45="Sí")*(Alumnos!$L$6:$L$45&lt;&gt;""))</f>
        <v/>
      </c>
      <c r="E12" s="7">
        <f>IF(COUNTA(Checklist!C6:C25)=0,0,COUNTIF(Checklist!G6:G25,"Sí")/COUNTA(Checklist!C6:C25))</f>
        <v/>
      </c>
      <c r="G12" s="8">
        <f>'Excursión'!C34</f>
        <v/>
      </c>
      <c r="I12" s="5">
        <f>'Excursión'!C35</f>
        <v/>
      </c>
    </row>
    <row r="14">
      <c r="B14" s="9" t="inlineStr">
        <is>
          <t>AUTORIZACIONES Y PAGOS POR ESTADO</t>
        </is>
      </c>
    </row>
    <row r="15" ht="30" customHeight="1">
      <c r="B15" s="10" t="inlineStr">
        <is>
          <t>Estado</t>
        </is>
      </c>
      <c r="C15" s="10" t="inlineStr">
        <is>
          <t>Alumnos</t>
        </is>
      </c>
      <c r="D15" s="10" t="inlineStr">
        <is>
          <t>% de la clase</t>
        </is>
      </c>
      <c r="E15" s="10" t="inlineStr">
        <is>
          <t>Importe pendiente</t>
        </is>
      </c>
    </row>
    <row r="16" ht="25" customHeight="1">
      <c r="B16" s="11" t="inlineStr">
        <is>
          <t>Listo</t>
        </is>
      </c>
      <c r="C16" s="12">
        <f>COUNTIF(Alumnos!$J$6:$J$45,B16)</f>
        <v/>
      </c>
      <c r="D16" s="13">
        <f>IF($C$21=0,0,C16/$C$21)</f>
        <v/>
      </c>
      <c r="E16" s="14">
        <f>SUMIF(Alumnos!$J$6:$J$45,B16,Alumnos!$I$6:$I$45)</f>
        <v/>
      </c>
    </row>
    <row r="17" ht="25" customHeight="1">
      <c r="B17" s="11" t="inlineStr">
        <is>
          <t>Pago parcial</t>
        </is>
      </c>
      <c r="C17" s="12">
        <f>COUNTIF(Alumnos!$J$6:$J$45,B17)</f>
        <v/>
      </c>
      <c r="D17" s="13">
        <f>IF($C$21=0,0,C17/$C$21)</f>
        <v/>
      </c>
      <c r="E17" s="14">
        <f>SUMIF(Alumnos!$J$6:$J$45,B17,Alumnos!$I$6:$I$45)</f>
        <v/>
      </c>
    </row>
    <row r="18" ht="25" customHeight="1">
      <c r="B18" s="11" t="inlineStr">
        <is>
          <t>Falta pago</t>
        </is>
      </c>
      <c r="C18" s="12">
        <f>COUNTIF(Alumnos!$J$6:$J$45,B18)</f>
        <v/>
      </c>
      <c r="D18" s="13">
        <f>IF($C$21=0,0,C18/$C$21)</f>
        <v/>
      </c>
      <c r="E18" s="14">
        <f>SUMIF(Alumnos!$J$6:$J$45,B18,Alumnos!$I$6:$I$45)</f>
        <v/>
      </c>
    </row>
    <row r="19" ht="25" customHeight="1">
      <c r="B19" s="11" t="inlineStr">
        <is>
          <t>Falta autorización</t>
        </is>
      </c>
      <c r="C19" s="12">
        <f>COUNTIF(Alumnos!$J$6:$J$45,B19)</f>
        <v/>
      </c>
      <c r="D19" s="13">
        <f>IF($C$21=0,0,C19/$C$21)</f>
        <v/>
      </c>
      <c r="E19" s="14">
        <f>SUMIF(Alumnos!$J$6:$J$45,B19,Alumnos!$I$6:$I$45)</f>
        <v/>
      </c>
    </row>
    <row r="20" ht="25" customHeight="1">
      <c r="B20" s="11" t="inlineStr">
        <is>
          <t>No asiste</t>
        </is>
      </c>
      <c r="C20" s="12">
        <f>COUNTIF(Alumnos!$J$6:$J$45,B20)</f>
        <v/>
      </c>
      <c r="D20" s="13">
        <f>IF($C$21=0,0,C20/$C$21)</f>
        <v/>
      </c>
      <c r="E20" s="14">
        <f>SUMIF(Alumnos!$J$6:$J$45,B20,Alumnos!$I$6:$I$45)</f>
        <v/>
      </c>
    </row>
    <row r="21" ht="25" customHeight="1">
      <c r="B21" s="15" t="inlineStr">
        <is>
          <t>Total</t>
        </is>
      </c>
      <c r="C21" s="16">
        <f>SUM(C16:C20)</f>
        <v/>
      </c>
      <c r="D21" s="17">
        <f>SUM(D16:D20)</f>
        <v/>
      </c>
      <c r="E21" s="18">
        <f>SUM(E16:E20)</f>
        <v/>
      </c>
    </row>
    <row r="23">
      <c r="B23" s="9" t="inlineStr">
        <is>
          <t>A GESTIONAR (primero sin autorización y mayor deuda)</t>
        </is>
      </c>
    </row>
    <row r="24" ht="30" customHeight="1">
      <c r="B24" s="10" t="inlineStr">
        <is>
          <t>Alumno/a</t>
        </is>
      </c>
      <c r="C24" s="10" t="inlineStr">
        <is>
          <t>Estado</t>
        </is>
      </c>
      <c r="D24" s="10" t="inlineStr">
        <is>
          <t>Cuota</t>
        </is>
      </c>
      <c r="E24" s="10" t="inlineStr">
        <is>
          <t>Pagado</t>
        </is>
      </c>
      <c r="F24" s="10" t="inlineStr">
        <is>
          <t>Pendiente</t>
        </is>
      </c>
      <c r="G24" s="10" t="inlineStr">
        <is>
          <t>Aviso</t>
        </is>
      </c>
      <c r="H24" s="10" t="inlineStr">
        <is>
          <t>Familiar de contacto</t>
        </is>
      </c>
      <c r="I24" s="10" t="inlineStr">
        <is>
          <t>Teléfono</t>
        </is>
      </c>
    </row>
    <row r="25">
      <c r="B25" s="19">
        <f>IF($K25="","",INDEX(Alumnos!$C$6:$C$45,MATCH($K25,Alumnos!$P$6:$P$45,0)))</f>
        <v/>
      </c>
      <c r="C25" s="20">
        <f>IF($K25="","",INDEX(Alumnos!$J$6:$J$45,MATCH($K25,Alumnos!$P$6:$P$45,0)))</f>
        <v/>
      </c>
      <c r="D25" s="21">
        <f>IF($K25="","",INDEX(Alumnos!$F$6:$F$45,MATCH($K25,Alumnos!$P$6:$P$45,0)))</f>
        <v/>
      </c>
      <c r="E25" s="21">
        <f>IF($K25="","",N(INDEX(Alumnos!$G$6:$G$45,MATCH($K25,Alumnos!$P$6:$P$45,0))))</f>
        <v/>
      </c>
      <c r="F25" s="22">
        <f>IF($K25="","",INDEX(Alumnos!$I$6:$I$45,MATCH($K25,Alumnos!$P$6:$P$45,0)))</f>
        <v/>
      </c>
      <c r="G25" s="20">
        <f>IF($K25="","",INDEX(Alumnos!$K$6:$K$45,MATCH($K25,Alumnos!$P$6:$P$45,0)))</f>
        <v/>
      </c>
      <c r="H25" s="20">
        <f>IF($K25="","",INDEX(Alumnos!$M$6:$M$45,MATCH($K25,Alumnos!$P$6:$P$45,0)))</f>
        <v/>
      </c>
      <c r="I25" s="20">
        <f>IF($K25="","",INDEX(Alumnos!$N$6:$N$45,MATCH($K25,Alumnos!$P$6:$P$45,0)))</f>
        <v/>
      </c>
      <c r="K25" s="23">
        <f>IFERROR(LARGE(Alumnos!$P$6:$P$45,1),"")</f>
        <v/>
      </c>
    </row>
    <row r="26">
      <c r="B26" s="19">
        <f>IF($K26="","",INDEX(Alumnos!$C$6:$C$45,MATCH($K26,Alumnos!$P$6:$P$45,0)))</f>
        <v/>
      </c>
      <c r="C26" s="20">
        <f>IF($K26="","",INDEX(Alumnos!$J$6:$J$45,MATCH($K26,Alumnos!$P$6:$P$45,0)))</f>
        <v/>
      </c>
      <c r="D26" s="21">
        <f>IF($K26="","",INDEX(Alumnos!$F$6:$F$45,MATCH($K26,Alumnos!$P$6:$P$45,0)))</f>
        <v/>
      </c>
      <c r="E26" s="21">
        <f>IF($K26="","",N(INDEX(Alumnos!$G$6:$G$45,MATCH($K26,Alumnos!$P$6:$P$45,0))))</f>
        <v/>
      </c>
      <c r="F26" s="22">
        <f>IF($K26="","",INDEX(Alumnos!$I$6:$I$45,MATCH($K26,Alumnos!$P$6:$P$45,0)))</f>
        <v/>
      </c>
      <c r="G26" s="20">
        <f>IF($K26="","",INDEX(Alumnos!$K$6:$K$45,MATCH($K26,Alumnos!$P$6:$P$45,0)))</f>
        <v/>
      </c>
      <c r="H26" s="20">
        <f>IF($K26="","",INDEX(Alumnos!$M$6:$M$45,MATCH($K26,Alumnos!$P$6:$P$45,0)))</f>
        <v/>
      </c>
      <c r="I26" s="20">
        <f>IF($K26="","",INDEX(Alumnos!$N$6:$N$45,MATCH($K26,Alumnos!$P$6:$P$45,0)))</f>
        <v/>
      </c>
      <c r="K26" s="23">
        <f>IFERROR(LARGE(Alumnos!$P$6:$P$45,2),"")</f>
        <v/>
      </c>
    </row>
    <row r="27">
      <c r="B27" s="19">
        <f>IF($K27="","",INDEX(Alumnos!$C$6:$C$45,MATCH($K27,Alumnos!$P$6:$P$45,0)))</f>
        <v/>
      </c>
      <c r="C27" s="20">
        <f>IF($K27="","",INDEX(Alumnos!$J$6:$J$45,MATCH($K27,Alumnos!$P$6:$P$45,0)))</f>
        <v/>
      </c>
      <c r="D27" s="21">
        <f>IF($K27="","",INDEX(Alumnos!$F$6:$F$45,MATCH($K27,Alumnos!$P$6:$P$45,0)))</f>
        <v/>
      </c>
      <c r="E27" s="21">
        <f>IF($K27="","",N(INDEX(Alumnos!$G$6:$G$45,MATCH($K27,Alumnos!$P$6:$P$45,0))))</f>
        <v/>
      </c>
      <c r="F27" s="22">
        <f>IF($K27="","",INDEX(Alumnos!$I$6:$I$45,MATCH($K27,Alumnos!$P$6:$P$45,0)))</f>
        <v/>
      </c>
      <c r="G27" s="20">
        <f>IF($K27="","",INDEX(Alumnos!$K$6:$K$45,MATCH($K27,Alumnos!$P$6:$P$45,0)))</f>
        <v/>
      </c>
      <c r="H27" s="20">
        <f>IF($K27="","",INDEX(Alumnos!$M$6:$M$45,MATCH($K27,Alumnos!$P$6:$P$45,0)))</f>
        <v/>
      </c>
      <c r="I27" s="20">
        <f>IF($K27="","",INDEX(Alumnos!$N$6:$N$45,MATCH($K27,Alumnos!$P$6:$P$45,0)))</f>
        <v/>
      </c>
      <c r="K27" s="23">
        <f>IFERROR(LARGE(Alumnos!$P$6:$P$45,3),"")</f>
        <v/>
      </c>
    </row>
    <row r="28">
      <c r="B28" s="19">
        <f>IF($K28="","",INDEX(Alumnos!$C$6:$C$45,MATCH($K28,Alumnos!$P$6:$P$45,0)))</f>
        <v/>
      </c>
      <c r="C28" s="20">
        <f>IF($K28="","",INDEX(Alumnos!$J$6:$J$45,MATCH($K28,Alumnos!$P$6:$P$45,0)))</f>
        <v/>
      </c>
      <c r="D28" s="21">
        <f>IF($K28="","",INDEX(Alumnos!$F$6:$F$45,MATCH($K28,Alumnos!$P$6:$P$45,0)))</f>
        <v/>
      </c>
      <c r="E28" s="21">
        <f>IF($K28="","",N(INDEX(Alumnos!$G$6:$G$45,MATCH($K28,Alumnos!$P$6:$P$45,0))))</f>
        <v/>
      </c>
      <c r="F28" s="22">
        <f>IF($K28="","",INDEX(Alumnos!$I$6:$I$45,MATCH($K28,Alumnos!$P$6:$P$45,0)))</f>
        <v/>
      </c>
      <c r="G28" s="20">
        <f>IF($K28="","",INDEX(Alumnos!$K$6:$K$45,MATCH($K28,Alumnos!$P$6:$P$45,0)))</f>
        <v/>
      </c>
      <c r="H28" s="20">
        <f>IF($K28="","",INDEX(Alumnos!$M$6:$M$45,MATCH($K28,Alumnos!$P$6:$P$45,0)))</f>
        <v/>
      </c>
      <c r="I28" s="20">
        <f>IF($K28="","",INDEX(Alumnos!$N$6:$N$45,MATCH($K28,Alumnos!$P$6:$P$45,0)))</f>
        <v/>
      </c>
      <c r="K28" s="23">
        <f>IFERROR(LARGE(Alumnos!$P$6:$P$45,4),"")</f>
        <v/>
      </c>
    </row>
    <row r="29">
      <c r="B29" s="19">
        <f>IF($K29="","",INDEX(Alumnos!$C$6:$C$45,MATCH($K29,Alumnos!$P$6:$P$45,0)))</f>
        <v/>
      </c>
      <c r="C29" s="20">
        <f>IF($K29="","",INDEX(Alumnos!$J$6:$J$45,MATCH($K29,Alumnos!$P$6:$P$45,0)))</f>
        <v/>
      </c>
      <c r="D29" s="21">
        <f>IF($K29="","",INDEX(Alumnos!$F$6:$F$45,MATCH($K29,Alumnos!$P$6:$P$45,0)))</f>
        <v/>
      </c>
      <c r="E29" s="21">
        <f>IF($K29="","",N(INDEX(Alumnos!$G$6:$G$45,MATCH($K29,Alumnos!$P$6:$P$45,0))))</f>
        <v/>
      </c>
      <c r="F29" s="22">
        <f>IF($K29="","",INDEX(Alumnos!$I$6:$I$45,MATCH($K29,Alumnos!$P$6:$P$45,0)))</f>
        <v/>
      </c>
      <c r="G29" s="20">
        <f>IF($K29="","",INDEX(Alumnos!$K$6:$K$45,MATCH($K29,Alumnos!$P$6:$P$45,0)))</f>
        <v/>
      </c>
      <c r="H29" s="20">
        <f>IF($K29="","",INDEX(Alumnos!$M$6:$M$45,MATCH($K29,Alumnos!$P$6:$P$45,0)))</f>
        <v/>
      </c>
      <c r="I29" s="20">
        <f>IF($K29="","",INDEX(Alumnos!$N$6:$N$45,MATCH($K29,Alumnos!$P$6:$P$45,0)))</f>
        <v/>
      </c>
      <c r="K29" s="23">
        <f>IFERROR(LARGE(Alumnos!$P$6:$P$45,5),"")</f>
        <v/>
      </c>
    </row>
    <row r="30">
      <c r="B30" s="19">
        <f>IF($K30="","",INDEX(Alumnos!$C$6:$C$45,MATCH($K30,Alumnos!$P$6:$P$45,0)))</f>
        <v/>
      </c>
      <c r="C30" s="20">
        <f>IF($K30="","",INDEX(Alumnos!$J$6:$J$45,MATCH($K30,Alumnos!$P$6:$P$45,0)))</f>
        <v/>
      </c>
      <c r="D30" s="21">
        <f>IF($K30="","",INDEX(Alumnos!$F$6:$F$45,MATCH($K30,Alumnos!$P$6:$P$45,0)))</f>
        <v/>
      </c>
      <c r="E30" s="21">
        <f>IF($K30="","",N(INDEX(Alumnos!$G$6:$G$45,MATCH($K30,Alumnos!$P$6:$P$45,0))))</f>
        <v/>
      </c>
      <c r="F30" s="22">
        <f>IF($K30="","",INDEX(Alumnos!$I$6:$I$45,MATCH($K30,Alumnos!$P$6:$P$45,0)))</f>
        <v/>
      </c>
      <c r="G30" s="20">
        <f>IF($K30="","",INDEX(Alumnos!$K$6:$K$45,MATCH($K30,Alumnos!$P$6:$P$45,0)))</f>
        <v/>
      </c>
      <c r="H30" s="20">
        <f>IF($K30="","",INDEX(Alumnos!$M$6:$M$45,MATCH($K30,Alumnos!$P$6:$P$45,0)))</f>
        <v/>
      </c>
      <c r="I30" s="20">
        <f>IF($K30="","",INDEX(Alumnos!$N$6:$N$45,MATCH($K30,Alumnos!$P$6:$P$45,0)))</f>
        <v/>
      </c>
      <c r="K30" s="23">
        <f>IFERROR(LARGE(Alumnos!$P$6:$P$45,6),"")</f>
        <v/>
      </c>
    </row>
    <row r="31">
      <c r="B31" s="19">
        <f>IF($K31="","",INDEX(Alumnos!$C$6:$C$45,MATCH($K31,Alumnos!$P$6:$P$45,0)))</f>
        <v/>
      </c>
      <c r="C31" s="20">
        <f>IF($K31="","",INDEX(Alumnos!$J$6:$J$45,MATCH($K31,Alumnos!$P$6:$P$45,0)))</f>
        <v/>
      </c>
      <c r="D31" s="21">
        <f>IF($K31="","",INDEX(Alumnos!$F$6:$F$45,MATCH($K31,Alumnos!$P$6:$P$45,0)))</f>
        <v/>
      </c>
      <c r="E31" s="21">
        <f>IF($K31="","",N(INDEX(Alumnos!$G$6:$G$45,MATCH($K31,Alumnos!$P$6:$P$45,0))))</f>
        <v/>
      </c>
      <c r="F31" s="22">
        <f>IF($K31="","",INDEX(Alumnos!$I$6:$I$45,MATCH($K31,Alumnos!$P$6:$P$45,0)))</f>
        <v/>
      </c>
      <c r="G31" s="20">
        <f>IF($K31="","",INDEX(Alumnos!$K$6:$K$45,MATCH($K31,Alumnos!$P$6:$P$45,0)))</f>
        <v/>
      </c>
      <c r="H31" s="20">
        <f>IF($K31="","",INDEX(Alumnos!$M$6:$M$45,MATCH($K31,Alumnos!$P$6:$P$45,0)))</f>
        <v/>
      </c>
      <c r="I31" s="20">
        <f>IF($K31="","",INDEX(Alumnos!$N$6:$N$45,MATCH($K31,Alumnos!$P$6:$P$45,0)))</f>
        <v/>
      </c>
      <c r="K31" s="23">
        <f>IFERROR(LARGE(Alumnos!$P$6:$P$45,7),"")</f>
        <v/>
      </c>
    </row>
    <row r="32">
      <c r="B32" s="19">
        <f>IF($K32="","",INDEX(Alumnos!$C$6:$C$45,MATCH($K32,Alumnos!$P$6:$P$45,0)))</f>
        <v/>
      </c>
      <c r="C32" s="20">
        <f>IF($K32="","",INDEX(Alumnos!$J$6:$J$45,MATCH($K32,Alumnos!$P$6:$P$45,0)))</f>
        <v/>
      </c>
      <c r="D32" s="21">
        <f>IF($K32="","",INDEX(Alumnos!$F$6:$F$45,MATCH($K32,Alumnos!$P$6:$P$45,0)))</f>
        <v/>
      </c>
      <c r="E32" s="21">
        <f>IF($K32="","",N(INDEX(Alumnos!$G$6:$G$45,MATCH($K32,Alumnos!$P$6:$P$45,0))))</f>
        <v/>
      </c>
      <c r="F32" s="22">
        <f>IF($K32="","",INDEX(Alumnos!$I$6:$I$45,MATCH($K32,Alumnos!$P$6:$P$45,0)))</f>
        <v/>
      </c>
      <c r="G32" s="20">
        <f>IF($K32="","",INDEX(Alumnos!$K$6:$K$45,MATCH($K32,Alumnos!$P$6:$P$45,0)))</f>
        <v/>
      </c>
      <c r="H32" s="20">
        <f>IF($K32="","",INDEX(Alumnos!$M$6:$M$45,MATCH($K32,Alumnos!$P$6:$P$45,0)))</f>
        <v/>
      </c>
      <c r="I32" s="20">
        <f>IF($K32="","",INDEX(Alumnos!$N$6:$N$45,MATCH($K32,Alumnos!$P$6:$P$45,0)))</f>
        <v/>
      </c>
      <c r="K32" s="23">
        <f>IFERROR(LARGE(Alumnos!$P$6:$P$45,8),"")</f>
        <v/>
      </c>
    </row>
    <row r="33">
      <c r="B33" s="19">
        <f>IF($K33="","",INDEX(Alumnos!$C$6:$C$45,MATCH($K33,Alumnos!$P$6:$P$45,0)))</f>
        <v/>
      </c>
      <c r="C33" s="20">
        <f>IF($K33="","",INDEX(Alumnos!$J$6:$J$45,MATCH($K33,Alumnos!$P$6:$P$45,0)))</f>
        <v/>
      </c>
      <c r="D33" s="21">
        <f>IF($K33="","",INDEX(Alumnos!$F$6:$F$45,MATCH($K33,Alumnos!$P$6:$P$45,0)))</f>
        <v/>
      </c>
      <c r="E33" s="21">
        <f>IF($K33="","",N(INDEX(Alumnos!$G$6:$G$45,MATCH($K33,Alumnos!$P$6:$P$45,0))))</f>
        <v/>
      </c>
      <c r="F33" s="22">
        <f>IF($K33="","",INDEX(Alumnos!$I$6:$I$45,MATCH($K33,Alumnos!$P$6:$P$45,0)))</f>
        <v/>
      </c>
      <c r="G33" s="20">
        <f>IF($K33="","",INDEX(Alumnos!$K$6:$K$45,MATCH($K33,Alumnos!$P$6:$P$45,0)))</f>
        <v/>
      </c>
      <c r="H33" s="20">
        <f>IF($K33="","",INDEX(Alumnos!$M$6:$M$45,MATCH($K33,Alumnos!$P$6:$P$45,0)))</f>
        <v/>
      </c>
      <c r="I33" s="20">
        <f>IF($K33="","",INDEX(Alumnos!$N$6:$N$45,MATCH($K33,Alumnos!$P$6:$P$45,0)))</f>
        <v/>
      </c>
      <c r="K33" s="23">
        <f>IFERROR(LARGE(Alumnos!$P$6:$P$45,9),"")</f>
        <v/>
      </c>
    </row>
    <row r="34">
      <c r="B34" s="19">
        <f>IF($K34="","",INDEX(Alumnos!$C$6:$C$45,MATCH($K34,Alumnos!$P$6:$P$45,0)))</f>
        <v/>
      </c>
      <c r="C34" s="20">
        <f>IF($K34="","",INDEX(Alumnos!$J$6:$J$45,MATCH($K34,Alumnos!$P$6:$P$45,0)))</f>
        <v/>
      </c>
      <c r="D34" s="21">
        <f>IF($K34="","",INDEX(Alumnos!$F$6:$F$45,MATCH($K34,Alumnos!$P$6:$P$45,0)))</f>
        <v/>
      </c>
      <c r="E34" s="21">
        <f>IF($K34="","",N(INDEX(Alumnos!$G$6:$G$45,MATCH($K34,Alumnos!$P$6:$P$45,0))))</f>
        <v/>
      </c>
      <c r="F34" s="22">
        <f>IF($K34="","",INDEX(Alumnos!$I$6:$I$45,MATCH($K34,Alumnos!$P$6:$P$45,0)))</f>
        <v/>
      </c>
      <c r="G34" s="20">
        <f>IF($K34="","",INDEX(Alumnos!$K$6:$K$45,MATCH($K34,Alumnos!$P$6:$P$45,0)))</f>
        <v/>
      </c>
      <c r="H34" s="20">
        <f>IF($K34="","",INDEX(Alumnos!$M$6:$M$45,MATCH($K34,Alumnos!$P$6:$P$45,0)))</f>
        <v/>
      </c>
      <c r="I34" s="20">
        <f>IF($K34="","",INDEX(Alumnos!$N$6:$N$45,MATCH($K34,Alumnos!$P$6:$P$45,0)))</f>
        <v/>
      </c>
      <c r="K34" s="23">
        <f>IFERROR(LARGE(Alumnos!$P$6:$P$45,10),"")</f>
        <v/>
      </c>
    </row>
    <row r="35">
      <c r="B35" s="24">
        <f>IF(COUNT(K25:K34)=0,"¡Todo gestionado! No queda ninguna familia por avisar.",IF(SUMPRODUCT(--ISNUMBER(Alumnos!$P$6:$P$45))&gt;10,"Se muestran los 10 primeros; hay "&amp;(SUMPRODUCT(--ISNUMBER(Alumnos!$P$6:$P$45))-10)&amp;" más en «Alumnos».",""))</f>
        <v/>
      </c>
    </row>
    <row r="37">
      <c r="B37" s="9" t="inlineStr">
        <is>
          <t>ALERGIAS Y NECESIDADES DE LOS QUE VAN (confidencial)</t>
        </is>
      </c>
    </row>
    <row r="38" ht="26" customHeight="1">
      <c r="B38" s="10" t="inlineStr">
        <is>
          <t>Alumno/a</t>
        </is>
      </c>
      <c r="C38" s="10" t="inlineStr">
        <is>
          <t>Alergia / necesidad</t>
        </is>
      </c>
      <c r="D38" s="25" t="n"/>
      <c r="E38" s="25" t="n"/>
      <c r="F38" s="26" t="n"/>
      <c r="G38" s="10" t="inlineStr">
        <is>
          <t>Familiar de contacto</t>
        </is>
      </c>
      <c r="H38" s="10" t="inlineStr">
        <is>
          <t>Teléfono</t>
        </is>
      </c>
    </row>
    <row r="39">
      <c r="B39" s="19">
        <f>IF($L39="","",INDEX(Alumnos!$C$1:$C$45,$L39))</f>
        <v/>
      </c>
      <c r="C39" s="19">
        <f>IF($L39="","",INDEX(Alumnos!$L$1:$L$45,$L39))</f>
        <v/>
      </c>
      <c r="D39" s="27" t="n"/>
      <c r="E39" s="27" t="n"/>
      <c r="F39" s="27" t="n"/>
      <c r="G39" s="20">
        <f>IF($L39="","",INDEX(Alumnos!$M$1:$M$45,$L39))</f>
        <v/>
      </c>
      <c r="H39" s="20">
        <f>IF($L39="","",INDEX(Alumnos!$N$1:$N$45,$L39))</f>
        <v/>
      </c>
      <c r="L39" s="28">
        <f>IFERROR(SMALL(Alumnos!$Q$6:$Q$45,1),"")</f>
        <v/>
      </c>
    </row>
    <row r="40">
      <c r="B40" s="19">
        <f>IF($L40="","",INDEX(Alumnos!$C$1:$C$45,$L40))</f>
        <v/>
      </c>
      <c r="C40" s="19">
        <f>IF($L40="","",INDEX(Alumnos!$L$1:$L$45,$L40))</f>
        <v/>
      </c>
      <c r="D40" s="27" t="n"/>
      <c r="E40" s="27" t="n"/>
      <c r="F40" s="27" t="n"/>
      <c r="G40" s="20">
        <f>IF($L40="","",INDEX(Alumnos!$M$1:$M$45,$L40))</f>
        <v/>
      </c>
      <c r="H40" s="20">
        <f>IF($L40="","",INDEX(Alumnos!$N$1:$N$45,$L40))</f>
        <v/>
      </c>
      <c r="L40" s="28">
        <f>IFERROR(SMALL(Alumnos!$Q$6:$Q$45,2),"")</f>
        <v/>
      </c>
    </row>
    <row r="41">
      <c r="B41" s="19">
        <f>IF($L41="","",INDEX(Alumnos!$C$1:$C$45,$L41))</f>
        <v/>
      </c>
      <c r="C41" s="19">
        <f>IF($L41="","",INDEX(Alumnos!$L$1:$L$45,$L41))</f>
        <v/>
      </c>
      <c r="D41" s="27" t="n"/>
      <c r="E41" s="27" t="n"/>
      <c r="F41" s="27" t="n"/>
      <c r="G41" s="20">
        <f>IF($L41="","",INDEX(Alumnos!$M$1:$M$45,$L41))</f>
        <v/>
      </c>
      <c r="H41" s="20">
        <f>IF($L41="","",INDEX(Alumnos!$N$1:$N$45,$L41))</f>
        <v/>
      </c>
      <c r="L41" s="28">
        <f>IFERROR(SMALL(Alumnos!$Q$6:$Q$45,3),"")</f>
        <v/>
      </c>
    </row>
    <row r="42">
      <c r="B42" s="19">
        <f>IF($L42="","",INDEX(Alumnos!$C$1:$C$45,$L42))</f>
        <v/>
      </c>
      <c r="C42" s="19">
        <f>IF($L42="","",INDEX(Alumnos!$L$1:$L$45,$L42))</f>
        <v/>
      </c>
      <c r="D42" s="27" t="n"/>
      <c r="E42" s="27" t="n"/>
      <c r="F42" s="27" t="n"/>
      <c r="G42" s="20">
        <f>IF($L42="","",INDEX(Alumnos!$M$1:$M$45,$L42))</f>
        <v/>
      </c>
      <c r="H42" s="20">
        <f>IF($L42="","",INDEX(Alumnos!$N$1:$N$45,$L42))</f>
        <v/>
      </c>
      <c r="L42" s="28">
        <f>IFERROR(SMALL(Alumnos!$Q$6:$Q$45,4),"")</f>
        <v/>
      </c>
    </row>
    <row r="43">
      <c r="B43" s="19">
        <f>IF($L43="","",INDEX(Alumnos!$C$1:$C$45,$L43))</f>
        <v/>
      </c>
      <c r="C43" s="19">
        <f>IF($L43="","",INDEX(Alumnos!$L$1:$L$45,$L43))</f>
        <v/>
      </c>
      <c r="D43" s="27" t="n"/>
      <c r="E43" s="27" t="n"/>
      <c r="F43" s="27" t="n"/>
      <c r="G43" s="20">
        <f>IF($L43="","",INDEX(Alumnos!$M$1:$M$45,$L43))</f>
        <v/>
      </c>
      <c r="H43" s="20">
        <f>IF($L43="","",INDEX(Alumnos!$N$1:$N$45,$L43))</f>
        <v/>
      </c>
      <c r="L43" s="28">
        <f>IFERROR(SMALL(Alumnos!$Q$6:$Q$45,5),"")</f>
        <v/>
      </c>
    </row>
    <row r="44">
      <c r="B44" s="19">
        <f>IF($L44="","",INDEX(Alumnos!$C$1:$C$45,$L44))</f>
        <v/>
      </c>
      <c r="C44" s="19">
        <f>IF($L44="","",INDEX(Alumnos!$L$1:$L$45,$L44))</f>
        <v/>
      </c>
      <c r="D44" s="27" t="n"/>
      <c r="E44" s="27" t="n"/>
      <c r="F44" s="27" t="n"/>
      <c r="G44" s="20">
        <f>IF($L44="","",INDEX(Alumnos!$M$1:$M$45,$L44))</f>
        <v/>
      </c>
      <c r="H44" s="20">
        <f>IF($L44="","",INDEX(Alumnos!$N$1:$N$45,$L44))</f>
        <v/>
      </c>
      <c r="L44" s="28">
        <f>IFERROR(SMALL(Alumnos!$Q$6:$Q$45,6),"")</f>
        <v/>
      </c>
    </row>
    <row r="45">
      <c r="B45" s="19">
        <f>IF($L45="","",INDEX(Alumnos!$C$1:$C$45,$L45))</f>
        <v/>
      </c>
      <c r="C45" s="19">
        <f>IF($L45="","",INDEX(Alumnos!$L$1:$L$45,$L45))</f>
        <v/>
      </c>
      <c r="D45" s="27" t="n"/>
      <c r="E45" s="27" t="n"/>
      <c r="F45" s="27" t="n"/>
      <c r="G45" s="20">
        <f>IF($L45="","",INDEX(Alumnos!$M$1:$M$45,$L45))</f>
        <v/>
      </c>
      <c r="H45" s="20">
        <f>IF($L45="","",INDEX(Alumnos!$N$1:$N$45,$L45))</f>
        <v/>
      </c>
      <c r="L45" s="28">
        <f>IFERROR(SMALL(Alumnos!$Q$6:$Q$45,7),"")</f>
        <v/>
      </c>
    </row>
    <row r="46">
      <c r="B46" s="19">
        <f>IF($L46="","",INDEX(Alumnos!$C$1:$C$45,$L46))</f>
        <v/>
      </c>
      <c r="C46" s="19">
        <f>IF($L46="","",INDEX(Alumnos!$L$1:$L$45,$L46))</f>
        <v/>
      </c>
      <c r="D46" s="27" t="n"/>
      <c r="E46" s="27" t="n"/>
      <c r="F46" s="27" t="n"/>
      <c r="G46" s="20">
        <f>IF($L46="","",INDEX(Alumnos!$M$1:$M$45,$L46))</f>
        <v/>
      </c>
      <c r="H46" s="20">
        <f>IF($L46="","",INDEX(Alumnos!$N$1:$N$45,$L46))</f>
        <v/>
      </c>
      <c r="L46" s="28">
        <f>IFERROR(SMALL(Alumnos!$Q$6:$Q$45,8),"")</f>
        <v/>
      </c>
    </row>
    <row r="47">
      <c r="B47" s="24">
        <f>IF(C12&gt;8,"Se muestran 8; hay "&amp;(C12-8)&amp;" más en «Alumnos».","")</f>
        <v/>
      </c>
    </row>
    <row r="49">
      <c r="B49" s="9" t="inlineStr">
        <is>
          <t>MENSAJE PARA COPIAR A LAS FAMILIAS</t>
        </is>
      </c>
    </row>
    <row r="50" ht="62" customHeight="1">
      <c r="B50" s="29">
        <f>IF(AND(E6=0,COUNTIF(Alumnos!$J$6:$J$45,"Falta pago")+COUNTIF(Alumnos!$J$6:$J$45,"Pago parcial")=0),"Gracias a todos: ya tenemos autorizaciones y pagos de la salida «"&amp;'Excursión'!C5&amp;"» ("&amp;'Excursión'!C7&amp;").","Estimadas familias: para la salida «"&amp;'Excursión'!C5&amp;"» ("&amp;'Excursión'!C7&amp;") el "&amp;DAY('Excursión'!C8)&amp;"/"&amp;MONTH('Excursión'!C8)&amp;"/"&amp;YEAR('Excursión'!C8)&amp;" aún faltan "&amp;E6&amp;" autorizaciones firmadas y "&amp;(COUNTIF(Alumnos!$J$6:$J$45,"Falta pago")+COUNTIF(Alumnos!$J$6:$J$45,"Pago parcial"))&amp;" pagos de la cuota ("&amp;ROUND('Excursión'!C28,2)&amp;" € por alumno). Os pedimos entregarlo antes del "&amp;DAY('Excursión'!C11)&amp;"/"&amp;MONTH('Excursión'!C11)&amp;"/"&amp;YEAR('Excursión'!C11)&amp;". Gracias.")</f>
        <v/>
      </c>
    </row>
    <row r="52">
      <c r="B52" s="9" t="inlineStr">
        <is>
          <t>REPARTO DEL COSTE ESTIMADO</t>
        </is>
      </c>
    </row>
    <row r="53" ht="26" customHeight="1">
      <c r="B53" s="10" t="inlineStr">
        <is>
          <t>Concepto</t>
        </is>
      </c>
      <c r="C53" s="10" t="inlineStr">
        <is>
          <t>Importe</t>
        </is>
      </c>
    </row>
    <row r="54">
      <c r="B54" s="11" t="inlineStr">
        <is>
          <t>Autobús</t>
        </is>
      </c>
      <c r="C54" s="14">
        <f>'Excursión'!C13</f>
        <v/>
      </c>
    </row>
    <row r="55">
      <c r="B55" s="11" t="inlineStr">
        <is>
          <t>Seguro y otros fijos</t>
        </is>
      </c>
      <c r="C55" s="14">
        <f>'Excursión'!C16</f>
        <v/>
      </c>
    </row>
    <row r="56">
      <c r="B56" s="11" t="inlineStr">
        <is>
          <t>Entradas</t>
        </is>
      </c>
      <c r="C56" s="14">
        <f>'Excursión'!C14*'Excursión'!C24</f>
        <v/>
      </c>
    </row>
    <row r="57">
      <c r="B57" s="11" t="inlineStr">
        <is>
          <t>Taller</t>
        </is>
      </c>
      <c r="C57" s="14">
        <f>'Excursión'!C15*'Excursión'!C24</f>
        <v/>
      </c>
    </row>
    <row r="58">
      <c r="B58" s="15" t="inlineStr">
        <is>
          <t>Total</t>
        </is>
      </c>
      <c r="C58" s="18">
        <f>SUM(C54:C57)</f>
        <v/>
      </c>
    </row>
    <row r="59" ht="30" customHeight="1">
      <c r="B59" s="30" t="inlineStr">
        <is>
          <t>Coste real por alumno que va:</t>
        </is>
      </c>
      <c r="C59" s="22">
        <f>IF('Excursión'!C24=0,0,C58/'Excursión'!C24)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0">
    <mergeCell ref="E12:F12"/>
    <mergeCell ref="G12:H12"/>
    <mergeCell ref="C6:D6"/>
    <mergeCell ref="C39:F39"/>
    <mergeCell ref="G11:H11"/>
    <mergeCell ref="C5:D5"/>
    <mergeCell ref="E5:F5"/>
    <mergeCell ref="B3:I3"/>
    <mergeCell ref="C38:F38"/>
    <mergeCell ref="G8:H8"/>
    <mergeCell ref="E8:F8"/>
    <mergeCell ref="B2:I2"/>
    <mergeCell ref="G6:H6"/>
    <mergeCell ref="C9:D9"/>
    <mergeCell ref="C42:F42"/>
    <mergeCell ref="E9:F9"/>
    <mergeCell ref="C12:D12"/>
    <mergeCell ref="E6:F6"/>
    <mergeCell ref="C45:F45"/>
    <mergeCell ref="C11:D11"/>
    <mergeCell ref="E11:F11"/>
    <mergeCell ref="G5:H5"/>
    <mergeCell ref="C41:F41"/>
    <mergeCell ref="C8:D8"/>
    <mergeCell ref="C44:F44"/>
    <mergeCell ref="C40:F40"/>
    <mergeCell ref="C43:F43"/>
    <mergeCell ref="C46:F46"/>
    <mergeCell ref="G9:H9"/>
    <mergeCell ref="B50:I50"/>
  </mergeCells>
  <conditionalFormatting sqref="B12">
    <cfRule type="expression" priority="1" dxfId="0">
      <formula>$B$12&lt;0</formula>
    </cfRule>
    <cfRule type="expression" priority="2" dxfId="1">
      <formula>$B$12&gt;=0</formula>
    </cfRule>
  </conditionalFormatting>
  <conditionalFormatting sqref="E6">
    <cfRule type="expression" priority="3" dxfId="2">
      <formula>$E$6&gt;0</formula>
    </cfRule>
  </conditionalFormatting>
  <conditionalFormatting sqref="G12">
    <cfRule type="expression" priority="4" dxfId="0">
      <formula>LEFT($G$12,5)="Falta"</formula>
    </cfRule>
  </conditionalFormatting>
  <conditionalFormatting sqref="I12">
    <cfRule type="expression" priority="5" dxfId="0">
      <formula>AND(ISNUMBER($I$12),$I$12&lt;0)</formula>
    </cfRule>
  </conditionalFormatting>
  <conditionalFormatting sqref="C9">
    <cfRule type="expression" priority="6" dxfId="2">
      <formula>$C$9&gt;0</formula>
    </cfRule>
  </conditionalFormatting>
  <conditionalFormatting sqref="D16:D20">
    <cfRule type="dataBar" priority="7">
      <dataBar>
        <cfvo type="num" val="0"/>
        <cfvo type="max"/>
        <color rgb="0034D399"/>
      </dataBar>
    </cfRule>
  </conditionalFormatting>
  <conditionalFormatting sqref="C25:C34">
    <cfRule type="cellIs" priority="8" operator="equal" dxfId="0">
      <formula>"Falta autorización"</formula>
    </cfRule>
    <cfRule type="cellIs" priority="9" operator="equal" dxfId="0">
      <formula>"Falta pago"</formula>
    </cfRule>
    <cfRule type="cellIs" priority="10" operator="equal" dxfId="2">
      <formula>"Pago parcial"</formula>
    </cfRule>
  </conditionalFormatting>
  <conditionalFormatting sqref="G25:G34">
    <cfRule type="cellIs" priority="11" operator="equal" dxfId="0">
      <formula>"Reclamar"</formula>
    </cfRule>
    <cfRule type="cellIs" priority="12" operator="equal" dxfId="2">
      <formula>"Recordar"</formula>
    </cfRule>
  </conditionalFormatting>
  <conditionalFormatting sqref="B39:H46">
    <cfRule type="expression" priority="13" dxfId="2">
      <formula>$L39&lt;&gt;""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D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30" customWidth="1" min="3" max="3"/>
    <col width="64" customWidth="1" min="4" max="4"/>
  </cols>
  <sheetData>
    <row r="2" ht="34" customHeight="1">
      <c r="B2" s="1" t="inlineStr">
        <is>
          <t>Datos de la excursión</t>
        </is>
      </c>
      <c r="C2" s="2" t="n"/>
      <c r="D2" s="2" t="n"/>
    </row>
    <row r="3">
      <c r="B3" s="3" t="inlineStr">
        <is>
          <t>Define aquí la salida, los costes y los plazos. La cuota por alumno y los avisos se calculan solos a partir de estos datos.</t>
        </is>
      </c>
    </row>
    <row r="5">
      <c r="B5" s="31" t="inlineStr">
        <is>
          <t>Nombre de la actividad</t>
        </is>
      </c>
      <c r="C5" s="32" t="inlineStr">
        <is>
          <t>Visita al Museo de la Ciencia y taller</t>
        </is>
      </c>
      <c r="D5" s="33" t="inlineStr">
        <is>
          <t>Texto libre: aparece en el mensaje para las familias.</t>
        </is>
      </c>
    </row>
    <row r="6">
      <c r="B6" s="31" t="inlineStr">
        <is>
          <t>Grupo / curso</t>
        </is>
      </c>
      <c r="C6" s="32" t="inlineStr">
        <is>
          <t>5.º B de Primaria</t>
        </is>
      </c>
      <c r="D6" s="33" t="inlineStr">
        <is>
          <t>Clase o grupo que participa.</t>
        </is>
      </c>
    </row>
    <row r="7">
      <c r="B7" s="31" t="inlineStr">
        <is>
          <t>Destino</t>
        </is>
      </c>
      <c r="C7" s="32" t="inlineStr">
        <is>
          <t>Museo de la Ciencia (ficticio)</t>
        </is>
      </c>
      <c r="D7" s="33" t="inlineStr">
        <is>
          <t>Lugar de la visita.</t>
        </is>
      </c>
    </row>
    <row r="8">
      <c r="B8" s="31" t="inlineStr">
        <is>
          <t>Fecha de salida</t>
        </is>
      </c>
      <c r="C8" s="34" t="n">
        <v>46317</v>
      </c>
      <c r="D8" s="33" t="inlineStr">
        <is>
          <t>Día de la excursión. De ella cuelgan las fechas del checklist.</t>
        </is>
      </c>
    </row>
    <row r="9">
      <c r="B9" s="31" t="inlineStr">
        <is>
          <t>Hora de salida</t>
        </is>
      </c>
      <c r="C9" s="35" t="n">
        <v>0.375</v>
      </c>
      <c r="D9" s="33" t="inlineStr">
        <is>
          <t>Hora de encuentro en el centro.</t>
        </is>
      </c>
    </row>
    <row r="10">
      <c r="B10" s="31" t="inlineStr">
        <is>
          <t>Hora prevista de regreso</t>
        </is>
      </c>
      <c r="C10" s="35" t="n">
        <v>0.6041666666666666</v>
      </c>
      <c r="D10" s="33" t="inlineStr">
        <is>
          <t>Informativa, para comunicarla a las familias.</t>
        </is>
      </c>
    </row>
    <row r="11" ht="28" customHeight="1">
      <c r="B11" s="30" t="inlineStr">
        <is>
          <t>Fecha límite para entregar autorización y pago</t>
        </is>
      </c>
      <c r="C11" s="34" t="n">
        <v>46304</v>
      </c>
      <c r="D11" s="33" t="inlineStr">
        <is>
          <t>A partir de esta fecha el aviso pasa a «Reclamar».</t>
        </is>
      </c>
    </row>
    <row r="12">
      <c r="B12" s="31" t="inlineStr">
        <is>
          <t>Días de aviso antes del límite</t>
        </is>
      </c>
      <c r="C12" s="36" t="n">
        <v>7</v>
      </c>
      <c r="D12" s="33" t="inlineStr">
        <is>
          <t>Cuántos días antes del límite se marca «Recordar».</t>
        </is>
      </c>
    </row>
    <row r="13">
      <c r="B13" s="31" t="inlineStr">
        <is>
          <t>Coste del autobús (total, €)</t>
        </is>
      </c>
      <c r="C13" s="37" t="n">
        <v>380</v>
      </c>
      <c r="D13" s="33" t="inlineStr">
        <is>
          <t>Importe del transporte para toda la salida.</t>
        </is>
      </c>
    </row>
    <row r="14">
      <c r="B14" s="31" t="inlineStr">
        <is>
          <t>Entrada por alumno (€)</t>
        </is>
      </c>
      <c r="C14" s="37" t="n">
        <v>6.5</v>
      </c>
      <c r="D14" s="33" t="inlineStr">
        <is>
          <t>Precio de la entrada individual.</t>
        </is>
      </c>
    </row>
    <row r="15">
      <c r="B15" s="31" t="inlineStr">
        <is>
          <t>Taller o actividad extra por alumno (€)</t>
        </is>
      </c>
      <c r="C15" s="37" t="n">
        <v>3.5</v>
      </c>
      <c r="D15" s="33" t="inlineStr">
        <is>
          <t>Si no hay taller, déjalo en 0.</t>
        </is>
      </c>
    </row>
    <row r="16">
      <c r="B16" s="31" t="inlineStr">
        <is>
          <t>Seguro y otros costes fijos (€)</t>
        </is>
      </c>
      <c r="C16" s="37" t="n">
        <v>40</v>
      </c>
      <c r="D16" s="33" t="inlineStr">
        <is>
          <t>Seguro, guía, propinas... costes que no dependen del número de alumnos.</t>
        </is>
      </c>
    </row>
    <row r="17">
      <c r="B17" s="31" t="inlineStr">
        <is>
          <t>Docentes y acompañantes que van</t>
        </is>
      </c>
      <c r="C17" s="36" t="n">
        <v>3</v>
      </c>
      <c r="D17" s="33" t="inlineStr">
        <is>
          <t>Personas adultas confirmadas para la salida.</t>
        </is>
      </c>
    </row>
    <row r="18" ht="28" customHeight="1">
      <c r="B18" s="30" t="inlineStr">
        <is>
          <t>Alumnos por acompañante (ratio de referencia)</t>
        </is>
      </c>
      <c r="C18" s="36" t="n">
        <v>10</v>
      </c>
      <c r="D18" s="33" t="inlineStr">
        <is>
          <t>Parámetro de referencia editable: comprueba la norma de tu centro o comunidad.</t>
        </is>
      </c>
    </row>
    <row r="19">
      <c r="B19" s="31" t="inlineStr">
        <is>
          <t>Cuota manual por alumno (€, opcional)</t>
        </is>
      </c>
      <c r="C19" s="37" t="n"/>
      <c r="D19" s="33" t="inlineStr">
        <is>
          <t>Si la rellenas, sustituye a la cuota calculada. Déjala vacía para usar el cálculo.</t>
        </is>
      </c>
    </row>
    <row r="20">
      <c r="B20" s="31" t="inlineStr">
        <is>
          <t>Redondear la cuota a (€)</t>
        </is>
      </c>
      <c r="C20" s="37" t="n">
        <v>0.5</v>
      </c>
      <c r="D20" s="33" t="inlineStr">
        <is>
          <t>Ejemplo: 0,50 = a la media unidad hacia arriba; 1 = euros enteros.</t>
        </is>
      </c>
    </row>
    <row r="22">
      <c r="B22" s="9" t="inlineStr">
        <is>
          <t>CALCULADO AUTOMÁTICAMENTE</t>
        </is>
      </c>
    </row>
    <row r="23">
      <c r="B23" s="31" t="inlineStr">
        <is>
          <t>Alumnos en la lista</t>
        </is>
      </c>
      <c r="C23" s="38">
        <f>COUNTA(Alumnos!C6:C45)</f>
        <v/>
      </c>
      <c r="D23" s="33" t="inlineStr">
        <is>
          <t>Nombres escritos en la hoja «Alumnos».</t>
        </is>
      </c>
    </row>
    <row r="24">
      <c r="B24" s="31" t="inlineStr">
        <is>
          <t>Alumnos autorizados</t>
        </is>
      </c>
      <c r="C24" s="38">
        <f>COUNTIF(Alumnos!$D$6:$D$45,"Sí")</f>
        <v/>
      </c>
      <c r="D24" s="33" t="inlineStr">
        <is>
          <t>Familias que han dicho «Sí».</t>
        </is>
      </c>
    </row>
    <row r="25">
      <c r="B25" s="31" t="inlineStr">
        <is>
          <t>Costes fijos (autobús + seguro y otros)</t>
        </is>
      </c>
      <c r="C25" s="22">
        <f>C13+C16</f>
        <v/>
      </c>
      <c r="D25" s="33" t="inlineStr">
        <is>
          <t>Se reparten entre los alumnos.</t>
        </is>
      </c>
    </row>
    <row r="26">
      <c r="B26" s="31" t="inlineStr">
        <is>
          <t>Coste variable por alumno</t>
        </is>
      </c>
      <c r="C26" s="22">
        <f>C14+C15</f>
        <v/>
      </c>
      <c r="D26" s="33" t="inlineStr">
        <is>
          <t>Entrada + taller.</t>
        </is>
      </c>
    </row>
    <row r="27">
      <c r="B27" s="31" t="inlineStr">
        <is>
          <t>Cuota calculada (repartiendo entre toda la lista)</t>
        </is>
      </c>
      <c r="C27" s="22">
        <f>IF(C23=0,0,ROUNDUP((C25/C23+C26)/MAX(C20,0.01),0)*MAX(C20,0.01))</f>
        <v/>
      </c>
      <c r="D27" s="33" t="inlineStr">
        <is>
          <t>(Costes fijos ÷ alumnos + coste variable), redondeado hacia arriba.</t>
        </is>
      </c>
    </row>
    <row r="28">
      <c r="B28" s="31" t="inlineStr">
        <is>
          <t>Cuota aplicada a cada alumno</t>
        </is>
      </c>
      <c r="C28" s="22">
        <f>IF(C19="",C27,C19)</f>
        <v/>
      </c>
      <c r="D28" s="33" t="inlineStr">
        <is>
          <t>La cuota manual si la hay; si no, la calculada.</t>
        </is>
      </c>
    </row>
    <row r="29">
      <c r="B29" s="31" t="inlineStr">
        <is>
          <t>Cuota necesaria si solo van los autorizados</t>
        </is>
      </c>
      <c r="C29" s="22">
        <f>IF(C24=0,0,ROUNDUP((C25/C24+C26)/MAX(C20,0.01),0)*MAX(C20,0.01))</f>
        <v/>
      </c>
      <c r="D29" s="33" t="inlineStr">
        <is>
          <t>Lo que costaría a cada uno si no se apunta nadie más.</t>
        </is>
      </c>
    </row>
    <row r="30">
      <c r="B30" s="31" t="inlineStr">
        <is>
          <t>Coste total estimado (autorizados)</t>
        </is>
      </c>
      <c r="C30" s="22">
        <f>C25+C26*C24</f>
        <v/>
      </c>
      <c r="D30" s="33" t="inlineStr">
        <is>
          <t>Costes fijos + variables de quienes van.</t>
        </is>
      </c>
    </row>
    <row r="31">
      <c r="B31" s="31" t="inlineStr">
        <is>
          <t>Ingresos previstos (cuotas de autorizados)</t>
        </is>
      </c>
      <c r="C31" s="22">
        <f>C28*C24</f>
        <v/>
      </c>
      <c r="D31" s="33" t="inlineStr">
        <is>
          <t>Cuota aplicada × alumnos autorizados.</t>
        </is>
      </c>
    </row>
    <row r="32">
      <c r="B32" s="31" t="inlineStr">
        <is>
          <t>Saldo previsto (ingresos − coste)</t>
        </is>
      </c>
      <c r="C32" s="22">
        <f>C31-C30</f>
        <v/>
      </c>
      <c r="D32" s="33" t="inlineStr">
        <is>
          <t>Negativo = no cubre el coste con la cuota actual.</t>
        </is>
      </c>
    </row>
    <row r="33">
      <c r="B33" s="31" t="inlineStr">
        <is>
          <t>Acompañantes necesarios</t>
        </is>
      </c>
      <c r="C33" s="38">
        <f>IF(C18&lt;=0,0,ROUNDUP(C24/C18,0))</f>
        <v/>
      </c>
      <c r="D33" s="33" t="inlineStr">
        <is>
          <t>Autorizados ÷ ratio de referencia, hacia arriba.</t>
        </is>
      </c>
    </row>
    <row r="34">
      <c r="B34" s="31" t="inlineStr">
        <is>
          <t>Estado de acompañantes</t>
        </is>
      </c>
      <c r="C34" s="39">
        <f>IF(C18&lt;=0,"",IF(C17&gt;=C33,"Suficientes","Faltan "&amp;(C33-C17)))</f>
        <v/>
      </c>
      <c r="D34" s="33" t="inlineStr">
        <is>
          <t>Compara los acompañantes confirmados con los necesarios.</t>
        </is>
      </c>
    </row>
    <row r="35">
      <c r="B35" s="31" t="inlineStr">
        <is>
          <t>Días hasta la salida</t>
        </is>
      </c>
      <c r="C35" s="38">
        <f>IF(C8="","",C8-TODAY())</f>
        <v/>
      </c>
      <c r="D35" s="33" t="inlineStr">
        <is>
          <t>Negativo = la salida ya ha pasado.</t>
        </is>
      </c>
    </row>
    <row r="36">
      <c r="B36" s="31" t="inlineStr">
        <is>
          <t>Días hasta el límite de autorización y pago</t>
        </is>
      </c>
      <c r="C36" s="38">
        <f>IF(C11="","",C11-TODAY())</f>
        <v/>
      </c>
      <c r="D36" s="33" t="inlineStr">
        <is>
          <t>Negativo = el plazo ha vencido.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D3"/>
    <mergeCell ref="B2:D2"/>
  </mergeCells>
  <conditionalFormatting sqref="C32">
    <cfRule type="expression" priority="1" dxfId="0">
      <formula>$C$32&lt;0</formula>
    </cfRule>
  </conditionalFormatting>
  <conditionalFormatting sqref="C36">
    <cfRule type="expression" priority="2" dxfId="0">
      <formula>AND(ISNUMBER($C$36),$C$36&lt;0)</formula>
    </cfRule>
    <cfRule type="expression" priority="3" dxfId="2">
      <formula>AND(ISNUMBER($C$36),$C$36&gt;=0,$C$36&lt;=$C$12)</formula>
    </cfRule>
  </conditionalFormatting>
  <conditionalFormatting sqref="C34">
    <cfRule type="expression" priority="4" dxfId="0">
      <formula>LEFT($C$34,5)="Falta"</formula>
    </cfRule>
  </conditionalFormatting>
  <dataValidations count="2">
    <dataValidation sqref="C13 C14 C15 C16 C17 C18 C19 C20" showDropDown="0" showInputMessage="0" showErrorMessage="1" allowBlank="1" errorTitle="Importe" error="Escribe un número igual o mayor que 0." type="decimal" operator="greaterThanOrEqual">
      <formula1>0</formula1>
    </dataValidation>
    <dataValidation sqref="C8 C11" showDropDown="0" showInputMessage="0" showErrorMessage="1" allowBlank="1" errorTitle="Fecha" error="Escribe una fecha válida, por ejemplo 22/10/2026." type="date" operator="greaterThan">
      <formula1>1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Q4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" customWidth="1" min="2" max="2"/>
    <col width="20" customWidth="1" min="3" max="3"/>
    <col width="15" customWidth="1" min="4" max="4"/>
    <col width="14" customWidth="1" min="5" max="5"/>
    <col width="11" customWidth="1" min="6" max="6"/>
    <col width="11" customWidth="1" min="7" max="7"/>
    <col width="13" customWidth="1" min="8" max="8"/>
    <col width="12" customWidth="1" min="9" max="9"/>
    <col width="19" customWidth="1" min="10" max="10"/>
    <col width="12" customWidth="1" min="11" max="11"/>
    <col width="30" customWidth="1" min="12" max="12"/>
    <col width="22" customWidth="1" min="13" max="13"/>
    <col width="14" customWidth="1" min="14" max="14"/>
    <col width="26" customWidth="1" min="15" max="15"/>
    <col hidden="1" width="10" customWidth="1" min="16" max="16"/>
    <col hidden="1" width="8" customWidth="1" min="17" max="17"/>
  </cols>
  <sheetData>
    <row r="2" ht="34" customHeight="1">
      <c r="B2" s="1" t="inlineStr">
        <is>
          <t>Alumnos: autorizaciones, pagos y datos de contacto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Una fila por alumno: ¿ha firmado?, ¿ha pagado?, ¿tiene alguna alergia? y a quién llamar. Datos de ejemplo ficticios.</t>
        </is>
      </c>
    </row>
    <row r="5" ht="44" customHeight="1">
      <c r="B5" s="10" t="inlineStr"/>
      <c r="C5" s="10" t="inlineStr">
        <is>
          <t>Alumno/a</t>
        </is>
      </c>
      <c r="D5" s="10" t="inlineStr">
        <is>
          <t>Autorización</t>
        </is>
      </c>
      <c r="E5" s="10" t="inlineStr">
        <is>
          <t>Fecha firma</t>
        </is>
      </c>
      <c r="F5" s="10" t="inlineStr">
        <is>
          <t>Cuota (€)</t>
        </is>
      </c>
      <c r="G5" s="10" t="inlineStr">
        <is>
          <t>Pagado (€)</t>
        </is>
      </c>
      <c r="H5" s="10" t="inlineStr">
        <is>
          <t>Fecha de pago</t>
        </is>
      </c>
      <c r="I5" s="10" t="inlineStr">
        <is>
          <t>Pendiente (€)</t>
        </is>
      </c>
      <c r="J5" s="10" t="inlineStr">
        <is>
          <t>Estado</t>
        </is>
      </c>
      <c r="K5" s="10" t="inlineStr">
        <is>
          <t>Aviso</t>
        </is>
      </c>
      <c r="L5" s="10" t="inlineStr">
        <is>
          <t>Alergias / necesidades</t>
        </is>
      </c>
      <c r="M5" s="10" t="inlineStr">
        <is>
          <t>Familiar de contacto</t>
        </is>
      </c>
      <c r="N5" s="10" t="inlineStr">
        <is>
          <t>Teléfono</t>
        </is>
      </c>
      <c r="O5" s="10" t="inlineStr">
        <is>
          <t>Observaciones</t>
        </is>
      </c>
      <c r="P5" s="40" t="inlineStr">
        <is>
          <t>Orden (aux.)</t>
        </is>
      </c>
      <c r="Q5" s="40" t="inlineStr">
        <is>
          <t>Alergia (aux.)</t>
        </is>
      </c>
    </row>
    <row r="6">
      <c r="B6" s="12">
        <f>IF(C6="","",ROW()-5)</f>
        <v/>
      </c>
      <c r="C6" s="41" t="inlineStr">
        <is>
          <t>Lucía M.</t>
        </is>
      </c>
      <c r="D6" s="42" t="inlineStr">
        <is>
          <t>Sí</t>
        </is>
      </c>
      <c r="E6" s="34" t="n">
        <v>46293</v>
      </c>
      <c r="F6" s="43">
        <f>IF(C6="","",IF(D6="No",0,'Excursión'!$C$28))</f>
        <v/>
      </c>
      <c r="G6" s="44" t="n">
        <v>38</v>
      </c>
      <c r="H6" s="34" t="n">
        <v>46294</v>
      </c>
      <c r="I6" s="45">
        <f>IF(C6="","",IF(D6="Sí",MAX(0,F6-N(G6)),0))</f>
        <v/>
      </c>
      <c r="J6" s="20">
        <f>IF(C6="","",IF(D6="No","No asiste",IF(D6="Sí",IF(N(G6)&gt;=F6,"Listo",IF(N(G6)&gt;0,"Pago parcial","Falta pago")),"Falta autorización")))</f>
        <v/>
      </c>
      <c r="K6" s="20">
        <f>IF(C6="","",IF(J6="Listo","OK",IF(J6="No asiste","—",IF('Excursión'!$C$11="","En plazo",IF(TODAY()&gt;'Excursión'!$C$11,"Reclamar",IF('Excursión'!$C$11-TODAY()&lt;='Excursión'!$C$12,"Recordar","En plazo"))))))</f>
        <v/>
      </c>
      <c r="L6" s="41" t="n"/>
      <c r="M6" s="41" t="inlineStr">
        <is>
          <t>Marta (madre)</t>
        </is>
      </c>
      <c r="N6" s="42" t="inlineStr">
        <is>
          <t>600 000 101</t>
        </is>
      </c>
      <c r="O6" s="41" t="n"/>
      <c r="P6" s="46">
        <f>IF(C6="","",IF(OR(J6="Listo",J6="No asiste"),"",IF(J6="Falta autorización",1000,0)+I6+ROW()/1000000))</f>
        <v/>
      </c>
      <c r="Q6" s="47">
        <f>IF(C6="","",IF(AND(D6="Sí",L6&lt;&gt;""),ROW(),""))</f>
        <v/>
      </c>
    </row>
    <row r="7">
      <c r="B7" s="12">
        <f>IF(C7="","",ROW()-5)</f>
        <v/>
      </c>
      <c r="C7" s="41" t="inlineStr">
        <is>
          <t>Hugo R.</t>
        </is>
      </c>
      <c r="D7" s="42" t="inlineStr">
        <is>
          <t>Sí</t>
        </is>
      </c>
      <c r="E7" s="34" t="n">
        <v>46293</v>
      </c>
      <c r="F7" s="43">
        <f>IF(C7="","",IF(D7="No",0,'Excursión'!$C$28))</f>
        <v/>
      </c>
      <c r="G7" s="44" t="n">
        <v>38</v>
      </c>
      <c r="H7" s="34" t="n">
        <v>46293</v>
      </c>
      <c r="I7" s="45">
        <f>IF(C7="","",IF(D7="Sí",MAX(0,F7-N(G7)),0))</f>
        <v/>
      </c>
      <c r="J7" s="20">
        <f>IF(C7="","",IF(D7="No","No asiste",IF(D7="Sí",IF(N(G7)&gt;=F7,"Listo",IF(N(G7)&gt;0,"Pago parcial","Falta pago")),"Falta autorización")))</f>
        <v/>
      </c>
      <c r="K7" s="20">
        <f>IF(C7="","",IF(J7="Listo","OK",IF(J7="No asiste","—",IF('Excursión'!$C$11="","En plazo",IF(TODAY()&gt;'Excursión'!$C$11,"Reclamar",IF('Excursión'!$C$11-TODAY()&lt;='Excursión'!$C$12,"Recordar","En plazo"))))))</f>
        <v/>
      </c>
      <c r="L7" s="41" t="inlineStr">
        <is>
          <t>Alergia a los frutos secos</t>
        </is>
      </c>
      <c r="M7" s="41" t="inlineStr">
        <is>
          <t>Raúl (padre)</t>
        </is>
      </c>
      <c r="N7" s="42" t="inlineStr">
        <is>
          <t>600 000 102</t>
        </is>
      </c>
      <c r="O7" s="41" t="inlineStr">
        <is>
          <t>Avisar al monitor del taller</t>
        </is>
      </c>
      <c r="P7" s="46">
        <f>IF(C7="","",IF(OR(J7="Listo",J7="No asiste"),"",IF(J7="Falta autorización",1000,0)+I7+ROW()/1000000))</f>
        <v/>
      </c>
      <c r="Q7" s="47">
        <f>IF(C7="","",IF(AND(D7="Sí",L7&lt;&gt;""),ROW(),""))</f>
        <v/>
      </c>
    </row>
    <row r="8">
      <c r="B8" s="12">
        <f>IF(C8="","",ROW()-5)</f>
        <v/>
      </c>
      <c r="C8" s="41" t="inlineStr">
        <is>
          <t>Valeria S.</t>
        </is>
      </c>
      <c r="D8" s="42" t="inlineStr">
        <is>
          <t>Sí</t>
        </is>
      </c>
      <c r="E8" s="34" t="n">
        <v>46294</v>
      </c>
      <c r="F8" s="43">
        <f>IF(C8="","",IF(D8="No",0,'Excursión'!$C$28))</f>
        <v/>
      </c>
      <c r="G8" s="44" t="n">
        <v>38</v>
      </c>
      <c r="H8" s="34" t="n">
        <v>46295</v>
      </c>
      <c r="I8" s="45">
        <f>IF(C8="","",IF(D8="Sí",MAX(0,F8-N(G8)),0))</f>
        <v/>
      </c>
      <c r="J8" s="20">
        <f>IF(C8="","",IF(D8="No","No asiste",IF(D8="Sí",IF(N(G8)&gt;=F8,"Listo",IF(N(G8)&gt;0,"Pago parcial","Falta pago")),"Falta autorización")))</f>
        <v/>
      </c>
      <c r="K8" s="20">
        <f>IF(C8="","",IF(J8="Listo","OK",IF(J8="No asiste","—",IF('Excursión'!$C$11="","En plazo",IF(TODAY()&gt;'Excursión'!$C$11,"Reclamar",IF('Excursión'!$C$11-TODAY()&lt;='Excursión'!$C$12,"Recordar","En plazo"))))))</f>
        <v/>
      </c>
      <c r="L8" s="41" t="n"/>
      <c r="M8" s="41" t="inlineStr">
        <is>
          <t>Elena (madre)</t>
        </is>
      </c>
      <c r="N8" s="42" t="inlineStr">
        <is>
          <t>600 000 103</t>
        </is>
      </c>
      <c r="O8" s="41" t="n"/>
      <c r="P8" s="46">
        <f>IF(C8="","",IF(OR(J8="Listo",J8="No asiste"),"",IF(J8="Falta autorización",1000,0)+I8+ROW()/1000000))</f>
        <v/>
      </c>
      <c r="Q8" s="47">
        <f>IF(C8="","",IF(AND(D8="Sí",L8&lt;&gt;""),ROW(),""))</f>
        <v/>
      </c>
    </row>
    <row r="9">
      <c r="B9" s="12">
        <f>IF(C9="","",ROW()-5)</f>
        <v/>
      </c>
      <c r="C9" s="41" t="inlineStr">
        <is>
          <t>Mateo G.</t>
        </is>
      </c>
      <c r="D9" s="42" t="inlineStr">
        <is>
          <t>Sí</t>
        </is>
      </c>
      <c r="E9" s="34" t="n">
        <v>46295</v>
      </c>
      <c r="F9" s="43">
        <f>IF(C9="","",IF(D9="No",0,'Excursión'!$C$28))</f>
        <v/>
      </c>
      <c r="G9" s="44" t="n">
        <v>15</v>
      </c>
      <c r="H9" s="34" t="n">
        <v>46296</v>
      </c>
      <c r="I9" s="45">
        <f>IF(C9="","",IF(D9="Sí",MAX(0,F9-N(G9)),0))</f>
        <v/>
      </c>
      <c r="J9" s="20">
        <f>IF(C9="","",IF(D9="No","No asiste",IF(D9="Sí",IF(N(G9)&gt;=F9,"Listo",IF(N(G9)&gt;0,"Pago parcial","Falta pago")),"Falta autorización")))</f>
        <v/>
      </c>
      <c r="K9" s="20">
        <f>IF(C9="","",IF(J9="Listo","OK",IF(J9="No asiste","—",IF('Excursión'!$C$11="","En plazo",IF(TODAY()&gt;'Excursión'!$C$11,"Reclamar",IF('Excursión'!$C$11-TODAY()&lt;='Excursión'!$C$12,"Recordar","En plazo"))))))</f>
        <v/>
      </c>
      <c r="L9" s="41" t="inlineStr">
        <is>
          <t>Celiaquía: bocadillo sin gluten</t>
        </is>
      </c>
      <c r="M9" s="41" t="inlineStr">
        <is>
          <t>Javier (padre)</t>
        </is>
      </c>
      <c r="N9" s="42" t="inlineStr">
        <is>
          <t>600 000 104</t>
        </is>
      </c>
      <c r="O9" s="41" t="inlineStr">
        <is>
          <t>Pagará el resto esta semana</t>
        </is>
      </c>
      <c r="P9" s="46">
        <f>IF(C9="","",IF(OR(J9="Listo",J9="No asiste"),"",IF(J9="Falta autorización",1000,0)+I9+ROW()/1000000))</f>
        <v/>
      </c>
      <c r="Q9" s="47">
        <f>IF(C9="","",IF(AND(D9="Sí",L9&lt;&gt;""),ROW(),""))</f>
        <v/>
      </c>
    </row>
    <row r="10">
      <c r="B10" s="12">
        <f>IF(C10="","",ROW()-5)</f>
        <v/>
      </c>
      <c r="C10" s="41" t="inlineStr">
        <is>
          <t>Daniela P.</t>
        </is>
      </c>
      <c r="D10" s="42" t="inlineStr">
        <is>
          <t>Sí</t>
        </is>
      </c>
      <c r="E10" s="34" t="n">
        <v>46295</v>
      </c>
      <c r="F10" s="43">
        <f>IF(C10="","",IF(D10="No",0,'Excursión'!$C$28))</f>
        <v/>
      </c>
      <c r="G10" s="44" t="n"/>
      <c r="H10" s="34" t="n"/>
      <c r="I10" s="45">
        <f>IF(C10="","",IF(D10="Sí",MAX(0,F10-N(G10)),0))</f>
        <v/>
      </c>
      <c r="J10" s="20">
        <f>IF(C10="","",IF(D10="No","No asiste",IF(D10="Sí",IF(N(G10)&gt;=F10,"Listo",IF(N(G10)&gt;0,"Pago parcial","Falta pago")),"Falta autorización")))</f>
        <v/>
      </c>
      <c r="K10" s="20">
        <f>IF(C10="","",IF(J10="Listo","OK",IF(J10="No asiste","—",IF('Excursión'!$C$11="","En plazo",IF(TODAY()&gt;'Excursión'!$C$11,"Reclamar",IF('Excursión'!$C$11-TODAY()&lt;='Excursión'!$C$12,"Recordar","En plazo"))))))</f>
        <v/>
      </c>
      <c r="L10" s="41" t="n"/>
      <c r="M10" s="41" t="inlineStr">
        <is>
          <t>Paula (madre)</t>
        </is>
      </c>
      <c r="N10" s="42" t="inlineStr">
        <is>
          <t>600 000 105</t>
        </is>
      </c>
      <c r="O10" s="41" t="inlineStr">
        <is>
          <t>Dice que trae el dinero el lunes</t>
        </is>
      </c>
      <c r="P10" s="46">
        <f>IF(C10="","",IF(OR(J10="Listo",J10="No asiste"),"",IF(J10="Falta autorización",1000,0)+I10+ROW()/1000000))</f>
        <v/>
      </c>
      <c r="Q10" s="47">
        <f>IF(C10="","",IF(AND(D10="Sí",L10&lt;&gt;""),ROW(),""))</f>
        <v/>
      </c>
    </row>
    <row r="11">
      <c r="B11" s="12">
        <f>IF(C11="","",ROW()-5)</f>
        <v/>
      </c>
      <c r="C11" s="41" t="inlineStr">
        <is>
          <t>Pablo T.</t>
        </is>
      </c>
      <c r="D11" s="42" t="inlineStr">
        <is>
          <t>Sí</t>
        </is>
      </c>
      <c r="E11" s="34" t="n">
        <v>46296</v>
      </c>
      <c r="F11" s="43">
        <f>IF(C11="","",IF(D11="No",0,'Excursión'!$C$28))</f>
        <v/>
      </c>
      <c r="G11" s="44" t="n">
        <v>38</v>
      </c>
      <c r="H11" s="34" t="n">
        <v>46296</v>
      </c>
      <c r="I11" s="45">
        <f>IF(C11="","",IF(D11="Sí",MAX(0,F11-N(G11)),0))</f>
        <v/>
      </c>
      <c r="J11" s="20">
        <f>IF(C11="","",IF(D11="No","No asiste",IF(D11="Sí",IF(N(G11)&gt;=F11,"Listo",IF(N(G11)&gt;0,"Pago parcial","Falta pago")),"Falta autorización")))</f>
        <v/>
      </c>
      <c r="K11" s="20">
        <f>IF(C11="","",IF(J11="Listo","OK",IF(J11="No asiste","—",IF('Excursión'!$C$11="","En plazo",IF(TODAY()&gt;'Excursión'!$C$11,"Reclamar",IF('Excursión'!$C$11-TODAY()&lt;='Excursión'!$C$12,"Recordar","En plazo"))))))</f>
        <v/>
      </c>
      <c r="L11" s="41" t="inlineStr">
        <is>
          <t>Alergia al polen</t>
        </is>
      </c>
      <c r="M11" s="41" t="inlineStr">
        <is>
          <t>Sergio (padre)</t>
        </is>
      </c>
      <c r="N11" s="42" t="inlineStr">
        <is>
          <t>600 000 106</t>
        </is>
      </c>
      <c r="O11" s="41" t="n"/>
      <c r="P11" s="46">
        <f>IF(C11="","",IF(OR(J11="Listo",J11="No asiste"),"",IF(J11="Falta autorización",1000,0)+I11+ROW()/1000000))</f>
        <v/>
      </c>
      <c r="Q11" s="47">
        <f>IF(C11="","",IF(AND(D11="Sí",L11&lt;&gt;""),ROW(),""))</f>
        <v/>
      </c>
    </row>
    <row r="12">
      <c r="B12" s="12">
        <f>IF(C12="","",ROW()-5)</f>
        <v/>
      </c>
      <c r="C12" s="41" t="inlineStr">
        <is>
          <t>Noa F.</t>
        </is>
      </c>
      <c r="D12" s="42" t="inlineStr">
        <is>
          <t>Pendiente</t>
        </is>
      </c>
      <c r="E12" s="34" t="n"/>
      <c r="F12" s="43">
        <f>IF(C12="","",IF(D12="No",0,'Excursión'!$C$28))</f>
        <v/>
      </c>
      <c r="G12" s="44" t="n"/>
      <c r="H12" s="34" t="n"/>
      <c r="I12" s="45">
        <f>IF(C12="","",IF(D12="Sí",MAX(0,F12-N(G12)),0))</f>
        <v/>
      </c>
      <c r="J12" s="20">
        <f>IF(C12="","",IF(D12="No","No asiste",IF(D12="Sí",IF(N(G12)&gt;=F12,"Listo",IF(N(G12)&gt;0,"Pago parcial","Falta pago")),"Falta autorización")))</f>
        <v/>
      </c>
      <c r="K12" s="20">
        <f>IF(C12="","",IF(J12="Listo","OK",IF(J12="No asiste","—",IF('Excursión'!$C$11="","En plazo",IF(TODAY()&gt;'Excursión'!$C$11,"Reclamar",IF('Excursión'!$C$11-TODAY()&lt;='Excursión'!$C$12,"Recordar","En plazo"))))))</f>
        <v/>
      </c>
      <c r="L12" s="41" t="n"/>
      <c r="M12" s="41" t="inlineStr">
        <is>
          <t>Irene (madre)</t>
        </is>
      </c>
      <c r="N12" s="42" t="inlineStr">
        <is>
          <t>600 000 107</t>
        </is>
      </c>
      <c r="O12" s="41" t="inlineStr">
        <is>
          <t>Aún sin respuesta</t>
        </is>
      </c>
      <c r="P12" s="46">
        <f>IF(C12="","",IF(OR(J12="Listo",J12="No asiste"),"",IF(J12="Falta autorización",1000,0)+I12+ROW()/1000000))</f>
        <v/>
      </c>
      <c r="Q12" s="47">
        <f>IF(C12="","",IF(AND(D12="Sí",L12&lt;&gt;""),ROW(),""))</f>
        <v/>
      </c>
    </row>
    <row r="13">
      <c r="B13" s="12">
        <f>IF(C13="","",ROW()-5)</f>
        <v/>
      </c>
      <c r="C13" s="41" t="inlineStr">
        <is>
          <t>Álvaro C.</t>
        </is>
      </c>
      <c r="D13" s="42" t="inlineStr">
        <is>
          <t>No</t>
        </is>
      </c>
      <c r="E13" s="34" t="n">
        <v>46296</v>
      </c>
      <c r="F13" s="43">
        <f>IF(C13="","",IF(D13="No",0,'Excursión'!$C$28))</f>
        <v/>
      </c>
      <c r="G13" s="44" t="n"/>
      <c r="H13" s="34" t="n"/>
      <c r="I13" s="45">
        <f>IF(C13="","",IF(D13="Sí",MAX(0,F13-N(G13)),0))</f>
        <v/>
      </c>
      <c r="J13" s="20">
        <f>IF(C13="","",IF(D13="No","No asiste",IF(D13="Sí",IF(N(G13)&gt;=F13,"Listo",IF(N(G13)&gt;0,"Pago parcial","Falta pago")),"Falta autorización")))</f>
        <v/>
      </c>
      <c r="K13" s="20">
        <f>IF(C13="","",IF(J13="Listo","OK",IF(J13="No asiste","—",IF('Excursión'!$C$11="","En plazo",IF(TODAY()&gt;'Excursión'!$C$11,"Reclamar",IF('Excursión'!$C$11-TODAY()&lt;='Excursión'!$C$12,"Recordar","En plazo"))))))</f>
        <v/>
      </c>
      <c r="L13" s="41" t="n"/>
      <c r="M13" s="41" t="inlineStr">
        <is>
          <t>Nuria (madre)</t>
        </is>
      </c>
      <c r="N13" s="42" t="inlineStr">
        <is>
          <t>600 000 108</t>
        </is>
      </c>
      <c r="O13" s="41" t="inlineStr">
        <is>
          <t>La familia estará de viaje</t>
        </is>
      </c>
      <c r="P13" s="46">
        <f>IF(C13="","",IF(OR(J13="Listo",J13="No asiste"),"",IF(J13="Falta autorización",1000,0)+I13+ROW()/1000000))</f>
        <v/>
      </c>
      <c r="Q13" s="47">
        <f>IF(C13="","",IF(AND(D13="Sí",L13&lt;&gt;""),ROW(),""))</f>
        <v/>
      </c>
    </row>
    <row r="14">
      <c r="B14" s="12">
        <f>IF(C14="","",ROW()-5)</f>
        <v/>
      </c>
      <c r="C14" s="41" t="inlineStr">
        <is>
          <t>Martina L.</t>
        </is>
      </c>
      <c r="D14" s="42" t="inlineStr">
        <is>
          <t>Sí</t>
        </is>
      </c>
      <c r="E14" s="34" t="n">
        <v>46294</v>
      </c>
      <c r="F14" s="43">
        <f>IF(C14="","",IF(D14="No",0,'Excursión'!$C$28))</f>
        <v/>
      </c>
      <c r="G14" s="44" t="n">
        <v>38</v>
      </c>
      <c r="H14" s="34" t="n">
        <v>46294</v>
      </c>
      <c r="I14" s="45">
        <f>IF(C14="","",IF(D14="Sí",MAX(0,F14-N(G14)),0))</f>
        <v/>
      </c>
      <c r="J14" s="20">
        <f>IF(C14="","",IF(D14="No","No asiste",IF(D14="Sí",IF(N(G14)&gt;=F14,"Listo",IF(N(G14)&gt;0,"Pago parcial","Falta pago")),"Falta autorización")))</f>
        <v/>
      </c>
      <c r="K14" s="20">
        <f>IF(C14="","",IF(J14="Listo","OK",IF(J14="No asiste","—",IF('Excursión'!$C$11="","En plazo",IF(TODAY()&gt;'Excursión'!$C$11,"Reclamar",IF('Excursión'!$C$11-TODAY()&lt;='Excursión'!$C$12,"Recordar","En plazo"))))))</f>
        <v/>
      </c>
      <c r="L14" s="41" t="inlineStr">
        <is>
          <t>Intolerancia a la lactosa</t>
        </is>
      </c>
      <c r="M14" s="41" t="inlineStr">
        <is>
          <t>David (padre)</t>
        </is>
      </c>
      <c r="N14" s="42" t="inlineStr">
        <is>
          <t>600 000 109</t>
        </is>
      </c>
      <c r="O14" s="41" t="n"/>
      <c r="P14" s="46">
        <f>IF(C14="","",IF(OR(J14="Listo",J14="No asiste"),"",IF(J14="Falta autorización",1000,0)+I14+ROW()/1000000))</f>
        <v/>
      </c>
      <c r="Q14" s="47">
        <f>IF(C14="","",IF(AND(D14="Sí",L14&lt;&gt;""),ROW(),""))</f>
        <v/>
      </c>
    </row>
    <row r="15">
      <c r="B15" s="12">
        <f>IF(C15="","",ROW()-5)</f>
        <v/>
      </c>
      <c r="C15" s="41" t="inlineStr">
        <is>
          <t>Izan B.</t>
        </is>
      </c>
      <c r="D15" s="42" t="inlineStr">
        <is>
          <t>Sí</t>
        </is>
      </c>
      <c r="E15" s="34" t="n">
        <v>46296</v>
      </c>
      <c r="F15" s="43">
        <f>IF(C15="","",IF(D15="No",0,'Excursión'!$C$28))</f>
        <v/>
      </c>
      <c r="G15" s="44" t="n">
        <v>38</v>
      </c>
      <c r="H15" s="34" t="n">
        <v>46297</v>
      </c>
      <c r="I15" s="45">
        <f>IF(C15="","",IF(D15="Sí",MAX(0,F15-N(G15)),0))</f>
        <v/>
      </c>
      <c r="J15" s="20">
        <f>IF(C15="","",IF(D15="No","No asiste",IF(D15="Sí",IF(N(G15)&gt;=F15,"Listo",IF(N(G15)&gt;0,"Pago parcial","Falta pago")),"Falta autorización")))</f>
        <v/>
      </c>
      <c r="K15" s="20">
        <f>IF(C15="","",IF(J15="Listo","OK",IF(J15="No asiste","—",IF('Excursión'!$C$11="","En plazo",IF(TODAY()&gt;'Excursión'!$C$11,"Reclamar",IF('Excursión'!$C$11-TODAY()&lt;='Excursión'!$C$12,"Recordar","En plazo"))))))</f>
        <v/>
      </c>
      <c r="L15" s="41" t="n"/>
      <c r="M15" s="41" t="inlineStr">
        <is>
          <t>Lorena (madre)</t>
        </is>
      </c>
      <c r="N15" s="42" t="inlineStr">
        <is>
          <t>600 000 110</t>
        </is>
      </c>
      <c r="O15" s="41" t="n"/>
      <c r="P15" s="46">
        <f>IF(C15="","",IF(OR(J15="Listo",J15="No asiste"),"",IF(J15="Falta autorización",1000,0)+I15+ROW()/1000000))</f>
        <v/>
      </c>
      <c r="Q15" s="47">
        <f>IF(C15="","",IF(AND(D15="Sí",L15&lt;&gt;""),ROW(),""))</f>
        <v/>
      </c>
    </row>
    <row r="16">
      <c r="B16" s="12">
        <f>IF(C16="","",ROW()-5)</f>
        <v/>
      </c>
      <c r="C16" s="41" t="inlineStr">
        <is>
          <t>Carla V.</t>
        </is>
      </c>
      <c r="D16" s="42" t="inlineStr">
        <is>
          <t>Pendiente</t>
        </is>
      </c>
      <c r="E16" s="34" t="n"/>
      <c r="F16" s="43">
        <f>IF(C16="","",IF(D16="No",0,'Excursión'!$C$28))</f>
        <v/>
      </c>
      <c r="G16" s="44" t="n"/>
      <c r="H16" s="34" t="n"/>
      <c r="I16" s="45">
        <f>IF(C16="","",IF(D16="Sí",MAX(0,F16-N(G16)),0))</f>
        <v/>
      </c>
      <c r="J16" s="20">
        <f>IF(C16="","",IF(D16="No","No asiste",IF(D16="Sí",IF(N(G16)&gt;=F16,"Listo",IF(N(G16)&gt;0,"Pago parcial","Falta pago")),"Falta autorización")))</f>
        <v/>
      </c>
      <c r="K16" s="20">
        <f>IF(C16="","",IF(J16="Listo","OK",IF(J16="No asiste","—",IF('Excursión'!$C$11="","En plazo",IF(TODAY()&gt;'Excursión'!$C$11,"Reclamar",IF('Excursión'!$C$11-TODAY()&lt;='Excursión'!$C$12,"Recordar","En plazo"))))))</f>
        <v/>
      </c>
      <c r="L16" s="41" t="n"/>
      <c r="M16" s="41" t="inlineStr">
        <is>
          <t>Andrés (padre)</t>
        </is>
      </c>
      <c r="N16" s="42" t="inlineStr">
        <is>
          <t>600 000 111</t>
        </is>
      </c>
      <c r="O16" s="41" t="inlineStr">
        <is>
          <t>Recordar por la agenda</t>
        </is>
      </c>
      <c r="P16" s="46">
        <f>IF(C16="","",IF(OR(J16="Listo",J16="No asiste"),"",IF(J16="Falta autorización",1000,0)+I16+ROW()/1000000))</f>
        <v/>
      </c>
      <c r="Q16" s="47">
        <f>IF(C16="","",IF(AND(D16="Sí",L16&lt;&gt;""),ROW(),""))</f>
        <v/>
      </c>
    </row>
    <row r="17">
      <c r="B17" s="12">
        <f>IF(C17="","",ROW()-5)</f>
        <v/>
      </c>
      <c r="C17" s="41" t="inlineStr">
        <is>
          <t>Leo N.</t>
        </is>
      </c>
      <c r="D17" s="42" t="inlineStr">
        <is>
          <t>Sí</t>
        </is>
      </c>
      <c r="E17" s="34" t="n">
        <v>46297</v>
      </c>
      <c r="F17" s="43">
        <f>IF(C17="","",IF(D17="No",0,'Excursión'!$C$28))</f>
        <v/>
      </c>
      <c r="G17" s="44" t="n">
        <v>38</v>
      </c>
      <c r="H17" s="34" t="n">
        <v>46297</v>
      </c>
      <c r="I17" s="45">
        <f>IF(C17="","",IF(D17="Sí",MAX(0,F17-N(G17)),0))</f>
        <v/>
      </c>
      <c r="J17" s="20">
        <f>IF(C17="","",IF(D17="No","No asiste",IF(D17="Sí",IF(N(G17)&gt;=F17,"Listo",IF(N(G17)&gt;0,"Pago parcial","Falta pago")),"Falta autorización")))</f>
        <v/>
      </c>
      <c r="K17" s="20">
        <f>IF(C17="","",IF(J17="Listo","OK",IF(J17="No asiste","—",IF('Excursión'!$C$11="","En plazo",IF(TODAY()&gt;'Excursión'!$C$11,"Reclamar",IF('Excursión'!$C$11-TODAY()&lt;='Excursión'!$C$12,"Recordar","En plazo"))))))</f>
        <v/>
      </c>
      <c r="L17" s="41" t="n"/>
      <c r="M17" s="41" t="inlineStr">
        <is>
          <t>Rosa (madre)</t>
        </is>
      </c>
      <c r="N17" s="42" t="inlineStr">
        <is>
          <t>600 000 112</t>
        </is>
      </c>
      <c r="O17" s="41" t="n"/>
      <c r="P17" s="46">
        <f>IF(C17="","",IF(OR(J17="Listo",J17="No asiste"),"",IF(J17="Falta autorización",1000,0)+I17+ROW()/1000000))</f>
        <v/>
      </c>
      <c r="Q17" s="47">
        <f>IF(C17="","",IF(AND(D17="Sí",L17&lt;&gt;""),ROW(),""))</f>
        <v/>
      </c>
    </row>
    <row r="18">
      <c r="B18" s="12">
        <f>IF(C18="","",ROW()-5)</f>
        <v/>
      </c>
      <c r="C18" s="41" t="inlineStr">
        <is>
          <t>Sofía H.</t>
        </is>
      </c>
      <c r="D18" s="42" t="inlineStr">
        <is>
          <t>Sí</t>
        </is>
      </c>
      <c r="E18" s="34" t="n">
        <v>46297</v>
      </c>
      <c r="F18" s="43">
        <f>IF(C18="","",IF(D18="No",0,'Excursión'!$C$28))</f>
        <v/>
      </c>
      <c r="G18" s="44" t="n">
        <v>20</v>
      </c>
      <c r="H18" s="34" t="n">
        <v>46297</v>
      </c>
      <c r="I18" s="45">
        <f>IF(C18="","",IF(D18="Sí",MAX(0,F18-N(G18)),0))</f>
        <v/>
      </c>
      <c r="J18" s="20">
        <f>IF(C18="","",IF(D18="No","No asiste",IF(D18="Sí",IF(N(G18)&gt;=F18,"Listo",IF(N(G18)&gt;0,"Pago parcial","Falta pago")),"Falta autorización")))</f>
        <v/>
      </c>
      <c r="K18" s="20">
        <f>IF(C18="","",IF(J18="Listo","OK",IF(J18="No asiste","—",IF('Excursión'!$C$11="","En plazo",IF(TODAY()&gt;'Excursión'!$C$11,"Reclamar",IF('Excursión'!$C$11-TODAY()&lt;='Excursión'!$C$12,"Recordar","En plazo"))))))</f>
        <v/>
      </c>
      <c r="L18" s="41" t="n"/>
      <c r="M18" s="41" t="inlineStr">
        <is>
          <t>Pilar (madre)</t>
        </is>
      </c>
      <c r="N18" s="42" t="inlineStr">
        <is>
          <t>600 000 113</t>
        </is>
      </c>
      <c r="O18" s="41" t="inlineStr">
        <is>
          <t>Primer pago a cuenta</t>
        </is>
      </c>
      <c r="P18" s="46">
        <f>IF(C18="","",IF(OR(J18="Listo",J18="No asiste"),"",IF(J18="Falta autorización",1000,0)+I18+ROW()/1000000))</f>
        <v/>
      </c>
      <c r="Q18" s="47">
        <f>IF(C18="","",IF(AND(D18="Sí",L18&lt;&gt;""),ROW(),""))</f>
        <v/>
      </c>
    </row>
    <row r="19">
      <c r="B19" s="12">
        <f>IF(C19="","",ROW()-5)</f>
        <v/>
      </c>
      <c r="C19" s="41" t="inlineStr">
        <is>
          <t>Adrián D.</t>
        </is>
      </c>
      <c r="D19" s="42" t="n"/>
      <c r="E19" s="34" t="n"/>
      <c r="F19" s="43">
        <f>IF(C19="","",IF(D19="No",0,'Excursión'!$C$28))</f>
        <v/>
      </c>
      <c r="G19" s="44" t="n"/>
      <c r="H19" s="34" t="n"/>
      <c r="I19" s="45">
        <f>IF(C19="","",IF(D19="Sí",MAX(0,F19-N(G19)),0))</f>
        <v/>
      </c>
      <c r="J19" s="20">
        <f>IF(C19="","",IF(D19="No","No asiste",IF(D19="Sí",IF(N(G19)&gt;=F19,"Listo",IF(N(G19)&gt;0,"Pago parcial","Falta pago")),"Falta autorización")))</f>
        <v/>
      </c>
      <c r="K19" s="20">
        <f>IF(C19="","",IF(J19="Listo","OK",IF(J19="No asiste","—",IF('Excursión'!$C$11="","En plazo",IF(TODAY()&gt;'Excursión'!$C$11,"Reclamar",IF('Excursión'!$C$11-TODAY()&lt;='Excursión'!$C$12,"Recordar","En plazo"))))))</f>
        <v/>
      </c>
      <c r="L19" s="41" t="n"/>
      <c r="M19" s="41" t="inlineStr">
        <is>
          <t>Tomás (padre)</t>
        </is>
      </c>
      <c r="N19" s="42" t="inlineStr">
        <is>
          <t>600 000 114</t>
        </is>
      </c>
      <c r="O19" s="41" t="inlineStr">
        <is>
          <t>Sin circular entregada</t>
        </is>
      </c>
      <c r="P19" s="46">
        <f>IF(C19="","",IF(OR(J19="Listo",J19="No asiste"),"",IF(J19="Falta autorización",1000,0)+I19+ROW()/1000000))</f>
        <v/>
      </c>
      <c r="Q19" s="47">
        <f>IF(C19="","",IF(AND(D19="Sí",L19&lt;&gt;""),ROW(),""))</f>
        <v/>
      </c>
    </row>
    <row r="20">
      <c r="B20" s="12">
        <f>IF(C20="","",ROW()-5)</f>
        <v/>
      </c>
      <c r="C20" s="41" t="inlineStr">
        <is>
          <t>Julia O.</t>
        </is>
      </c>
      <c r="D20" s="42" t="inlineStr">
        <is>
          <t>Sí</t>
        </is>
      </c>
      <c r="E20" s="34" t="n">
        <v>46297</v>
      </c>
      <c r="F20" s="43">
        <f>IF(C20="","",IF(D20="No",0,'Excursión'!$C$28))</f>
        <v/>
      </c>
      <c r="G20" s="44" t="n"/>
      <c r="H20" s="34" t="n"/>
      <c r="I20" s="45">
        <f>IF(C20="","",IF(D20="Sí",MAX(0,F20-N(G20)),0))</f>
        <v/>
      </c>
      <c r="J20" s="20">
        <f>IF(C20="","",IF(D20="No","No asiste",IF(D20="Sí",IF(N(G20)&gt;=F20,"Listo",IF(N(G20)&gt;0,"Pago parcial","Falta pago")),"Falta autorización")))</f>
        <v/>
      </c>
      <c r="K20" s="20">
        <f>IF(C20="","",IF(J20="Listo","OK",IF(J20="No asiste","—",IF('Excursión'!$C$11="","En plazo",IF(TODAY()&gt;'Excursión'!$C$11,"Reclamar",IF('Excursión'!$C$11-TODAY()&lt;='Excursión'!$C$12,"Recordar","En plazo"))))))</f>
        <v/>
      </c>
      <c r="L20" s="41" t="inlineStr">
        <is>
          <t>Mareo en autobús</t>
        </is>
      </c>
      <c r="M20" s="41" t="inlineStr">
        <is>
          <t>Carmen (madre)</t>
        </is>
      </c>
      <c r="N20" s="42" t="inlineStr">
        <is>
          <t>600 000 115</t>
        </is>
      </c>
      <c r="O20" s="41" t="inlineStr">
        <is>
          <t>Sentarla delante</t>
        </is>
      </c>
      <c r="P20" s="46">
        <f>IF(C20="","",IF(OR(J20="Listo",J20="No asiste"),"",IF(J20="Falta autorización",1000,0)+I20+ROW()/1000000))</f>
        <v/>
      </c>
      <c r="Q20" s="47">
        <f>IF(C20="","",IF(AND(D20="Sí",L20&lt;&gt;""),ROW(),""))</f>
        <v/>
      </c>
    </row>
    <row r="21">
      <c r="B21" s="12">
        <f>IF(C21="","",ROW()-5)</f>
        <v/>
      </c>
      <c r="C21" s="41" t="n"/>
      <c r="D21" s="42" t="n"/>
      <c r="E21" s="34" t="n"/>
      <c r="F21" s="43">
        <f>IF(C21="","",IF(D21="No",0,'Excursión'!$C$28))</f>
        <v/>
      </c>
      <c r="G21" s="44" t="n"/>
      <c r="H21" s="34" t="n"/>
      <c r="I21" s="45">
        <f>IF(C21="","",IF(D21="Sí",MAX(0,F21-N(G21)),0))</f>
        <v/>
      </c>
      <c r="J21" s="20">
        <f>IF(C21="","",IF(D21="No","No asiste",IF(D21="Sí",IF(N(G21)&gt;=F21,"Listo",IF(N(G21)&gt;0,"Pago parcial","Falta pago")),"Falta autorización")))</f>
        <v/>
      </c>
      <c r="K21" s="20">
        <f>IF(C21="","",IF(J21="Listo","OK",IF(J21="No asiste","—",IF('Excursión'!$C$11="","En plazo",IF(TODAY()&gt;'Excursión'!$C$11,"Reclamar",IF('Excursión'!$C$11-TODAY()&lt;='Excursión'!$C$12,"Recordar","En plazo"))))))</f>
        <v/>
      </c>
      <c r="L21" s="41" t="n"/>
      <c r="M21" s="41" t="n"/>
      <c r="N21" s="42" t="n"/>
      <c r="O21" s="41" t="n"/>
      <c r="P21" s="46">
        <f>IF(C21="","",IF(OR(J21="Listo",J21="No asiste"),"",IF(J21="Falta autorización",1000,0)+I21+ROW()/1000000))</f>
        <v/>
      </c>
      <c r="Q21" s="47">
        <f>IF(C21="","",IF(AND(D21="Sí",L21&lt;&gt;""),ROW(),""))</f>
        <v/>
      </c>
    </row>
    <row r="22">
      <c r="B22" s="12">
        <f>IF(C22="","",ROW()-5)</f>
        <v/>
      </c>
      <c r="C22" s="41" t="n"/>
      <c r="D22" s="42" t="n"/>
      <c r="E22" s="34" t="n"/>
      <c r="F22" s="43">
        <f>IF(C22="","",IF(D22="No",0,'Excursión'!$C$28))</f>
        <v/>
      </c>
      <c r="G22" s="44" t="n"/>
      <c r="H22" s="34" t="n"/>
      <c r="I22" s="45">
        <f>IF(C22="","",IF(D22="Sí",MAX(0,F22-N(G22)),0))</f>
        <v/>
      </c>
      <c r="J22" s="20">
        <f>IF(C22="","",IF(D22="No","No asiste",IF(D22="Sí",IF(N(G22)&gt;=F22,"Listo",IF(N(G22)&gt;0,"Pago parcial","Falta pago")),"Falta autorización")))</f>
        <v/>
      </c>
      <c r="K22" s="20">
        <f>IF(C22="","",IF(J22="Listo","OK",IF(J22="No asiste","—",IF('Excursión'!$C$11="","En plazo",IF(TODAY()&gt;'Excursión'!$C$11,"Reclamar",IF('Excursión'!$C$11-TODAY()&lt;='Excursión'!$C$12,"Recordar","En plazo"))))))</f>
        <v/>
      </c>
      <c r="L22" s="41" t="n"/>
      <c r="M22" s="41" t="n"/>
      <c r="N22" s="42" t="n"/>
      <c r="O22" s="41" t="n"/>
      <c r="P22" s="46">
        <f>IF(C22="","",IF(OR(J22="Listo",J22="No asiste"),"",IF(J22="Falta autorización",1000,0)+I22+ROW()/1000000))</f>
        <v/>
      </c>
      <c r="Q22" s="47">
        <f>IF(C22="","",IF(AND(D22="Sí",L22&lt;&gt;""),ROW(),""))</f>
        <v/>
      </c>
    </row>
    <row r="23">
      <c r="B23" s="12">
        <f>IF(C23="","",ROW()-5)</f>
        <v/>
      </c>
      <c r="C23" s="41" t="n"/>
      <c r="D23" s="42" t="n"/>
      <c r="E23" s="34" t="n"/>
      <c r="F23" s="43">
        <f>IF(C23="","",IF(D23="No",0,'Excursión'!$C$28))</f>
        <v/>
      </c>
      <c r="G23" s="44" t="n"/>
      <c r="H23" s="34" t="n"/>
      <c r="I23" s="45">
        <f>IF(C23="","",IF(D23="Sí",MAX(0,F23-N(G23)),0))</f>
        <v/>
      </c>
      <c r="J23" s="20">
        <f>IF(C23="","",IF(D23="No","No asiste",IF(D23="Sí",IF(N(G23)&gt;=F23,"Listo",IF(N(G23)&gt;0,"Pago parcial","Falta pago")),"Falta autorización")))</f>
        <v/>
      </c>
      <c r="K23" s="20">
        <f>IF(C23="","",IF(J23="Listo","OK",IF(J23="No asiste","—",IF('Excursión'!$C$11="","En plazo",IF(TODAY()&gt;'Excursión'!$C$11,"Reclamar",IF('Excursión'!$C$11-TODAY()&lt;='Excursión'!$C$12,"Recordar","En plazo"))))))</f>
        <v/>
      </c>
      <c r="L23" s="41" t="n"/>
      <c r="M23" s="41" t="n"/>
      <c r="N23" s="42" t="n"/>
      <c r="O23" s="41" t="n"/>
      <c r="P23" s="46">
        <f>IF(C23="","",IF(OR(J23="Listo",J23="No asiste"),"",IF(J23="Falta autorización",1000,0)+I23+ROW()/1000000))</f>
        <v/>
      </c>
      <c r="Q23" s="47">
        <f>IF(C23="","",IF(AND(D23="Sí",L23&lt;&gt;""),ROW(),""))</f>
        <v/>
      </c>
    </row>
    <row r="24">
      <c r="B24" s="12">
        <f>IF(C24="","",ROW()-5)</f>
        <v/>
      </c>
      <c r="C24" s="41" t="n"/>
      <c r="D24" s="42" t="n"/>
      <c r="E24" s="34" t="n"/>
      <c r="F24" s="43">
        <f>IF(C24="","",IF(D24="No",0,'Excursión'!$C$28))</f>
        <v/>
      </c>
      <c r="G24" s="44" t="n"/>
      <c r="H24" s="34" t="n"/>
      <c r="I24" s="45">
        <f>IF(C24="","",IF(D24="Sí",MAX(0,F24-N(G24)),0))</f>
        <v/>
      </c>
      <c r="J24" s="20">
        <f>IF(C24="","",IF(D24="No","No asiste",IF(D24="Sí",IF(N(G24)&gt;=F24,"Listo",IF(N(G24)&gt;0,"Pago parcial","Falta pago")),"Falta autorización")))</f>
        <v/>
      </c>
      <c r="K24" s="20">
        <f>IF(C24="","",IF(J24="Listo","OK",IF(J24="No asiste","—",IF('Excursión'!$C$11="","En plazo",IF(TODAY()&gt;'Excursión'!$C$11,"Reclamar",IF('Excursión'!$C$11-TODAY()&lt;='Excursión'!$C$12,"Recordar","En plazo"))))))</f>
        <v/>
      </c>
      <c r="L24" s="41" t="n"/>
      <c r="M24" s="41" t="n"/>
      <c r="N24" s="42" t="n"/>
      <c r="O24" s="41" t="n"/>
      <c r="P24" s="46">
        <f>IF(C24="","",IF(OR(J24="Listo",J24="No asiste"),"",IF(J24="Falta autorización",1000,0)+I24+ROW()/1000000))</f>
        <v/>
      </c>
      <c r="Q24" s="47">
        <f>IF(C24="","",IF(AND(D24="Sí",L24&lt;&gt;""),ROW(),""))</f>
        <v/>
      </c>
    </row>
    <row r="25">
      <c r="B25" s="12">
        <f>IF(C25="","",ROW()-5)</f>
        <v/>
      </c>
      <c r="C25" s="41" t="n"/>
      <c r="D25" s="42" t="n"/>
      <c r="E25" s="34" t="n"/>
      <c r="F25" s="43">
        <f>IF(C25="","",IF(D25="No",0,'Excursión'!$C$28))</f>
        <v/>
      </c>
      <c r="G25" s="44" t="n"/>
      <c r="H25" s="34" t="n"/>
      <c r="I25" s="45">
        <f>IF(C25="","",IF(D25="Sí",MAX(0,F25-N(G25)),0))</f>
        <v/>
      </c>
      <c r="J25" s="20">
        <f>IF(C25="","",IF(D25="No","No asiste",IF(D25="Sí",IF(N(G25)&gt;=F25,"Listo",IF(N(G25)&gt;0,"Pago parcial","Falta pago")),"Falta autorización")))</f>
        <v/>
      </c>
      <c r="K25" s="20">
        <f>IF(C25="","",IF(J25="Listo","OK",IF(J25="No asiste","—",IF('Excursión'!$C$11="","En plazo",IF(TODAY()&gt;'Excursión'!$C$11,"Reclamar",IF('Excursión'!$C$11-TODAY()&lt;='Excursión'!$C$12,"Recordar","En plazo"))))))</f>
        <v/>
      </c>
      <c r="L25" s="41" t="n"/>
      <c r="M25" s="41" t="n"/>
      <c r="N25" s="42" t="n"/>
      <c r="O25" s="41" t="n"/>
      <c r="P25" s="46">
        <f>IF(C25="","",IF(OR(J25="Listo",J25="No asiste"),"",IF(J25="Falta autorización",1000,0)+I25+ROW()/1000000))</f>
        <v/>
      </c>
      <c r="Q25" s="47">
        <f>IF(C25="","",IF(AND(D25="Sí",L25&lt;&gt;""),ROW(),""))</f>
        <v/>
      </c>
    </row>
    <row r="26">
      <c r="B26" s="12">
        <f>IF(C26="","",ROW()-5)</f>
        <v/>
      </c>
      <c r="C26" s="41" t="n"/>
      <c r="D26" s="42" t="n"/>
      <c r="E26" s="34" t="n"/>
      <c r="F26" s="43">
        <f>IF(C26="","",IF(D26="No",0,'Excursión'!$C$28))</f>
        <v/>
      </c>
      <c r="G26" s="44" t="n"/>
      <c r="H26" s="34" t="n"/>
      <c r="I26" s="45">
        <f>IF(C26="","",IF(D26="Sí",MAX(0,F26-N(G26)),0))</f>
        <v/>
      </c>
      <c r="J26" s="20">
        <f>IF(C26="","",IF(D26="No","No asiste",IF(D26="Sí",IF(N(G26)&gt;=F26,"Listo",IF(N(G26)&gt;0,"Pago parcial","Falta pago")),"Falta autorización")))</f>
        <v/>
      </c>
      <c r="K26" s="20">
        <f>IF(C26="","",IF(J26="Listo","OK",IF(J26="No asiste","—",IF('Excursión'!$C$11="","En plazo",IF(TODAY()&gt;'Excursión'!$C$11,"Reclamar",IF('Excursión'!$C$11-TODAY()&lt;='Excursión'!$C$12,"Recordar","En plazo"))))))</f>
        <v/>
      </c>
      <c r="L26" s="41" t="n"/>
      <c r="M26" s="41" t="n"/>
      <c r="N26" s="42" t="n"/>
      <c r="O26" s="41" t="n"/>
      <c r="P26" s="46">
        <f>IF(C26="","",IF(OR(J26="Listo",J26="No asiste"),"",IF(J26="Falta autorización",1000,0)+I26+ROW()/1000000))</f>
        <v/>
      </c>
      <c r="Q26" s="47">
        <f>IF(C26="","",IF(AND(D26="Sí",L26&lt;&gt;""),ROW(),""))</f>
        <v/>
      </c>
    </row>
    <row r="27">
      <c r="B27" s="12">
        <f>IF(C27="","",ROW()-5)</f>
        <v/>
      </c>
      <c r="C27" s="41" t="n"/>
      <c r="D27" s="42" t="n"/>
      <c r="E27" s="34" t="n"/>
      <c r="F27" s="43">
        <f>IF(C27="","",IF(D27="No",0,'Excursión'!$C$28))</f>
        <v/>
      </c>
      <c r="G27" s="44" t="n"/>
      <c r="H27" s="34" t="n"/>
      <c r="I27" s="45">
        <f>IF(C27="","",IF(D27="Sí",MAX(0,F27-N(G27)),0))</f>
        <v/>
      </c>
      <c r="J27" s="20">
        <f>IF(C27="","",IF(D27="No","No asiste",IF(D27="Sí",IF(N(G27)&gt;=F27,"Listo",IF(N(G27)&gt;0,"Pago parcial","Falta pago")),"Falta autorización")))</f>
        <v/>
      </c>
      <c r="K27" s="20">
        <f>IF(C27="","",IF(J27="Listo","OK",IF(J27="No asiste","—",IF('Excursión'!$C$11="","En plazo",IF(TODAY()&gt;'Excursión'!$C$11,"Reclamar",IF('Excursión'!$C$11-TODAY()&lt;='Excursión'!$C$12,"Recordar","En plazo"))))))</f>
        <v/>
      </c>
      <c r="L27" s="41" t="n"/>
      <c r="M27" s="41" t="n"/>
      <c r="N27" s="42" t="n"/>
      <c r="O27" s="41" t="n"/>
      <c r="P27" s="46">
        <f>IF(C27="","",IF(OR(J27="Listo",J27="No asiste"),"",IF(J27="Falta autorización",1000,0)+I27+ROW()/1000000))</f>
        <v/>
      </c>
      <c r="Q27" s="47">
        <f>IF(C27="","",IF(AND(D27="Sí",L27&lt;&gt;""),ROW(),""))</f>
        <v/>
      </c>
    </row>
    <row r="28">
      <c r="B28" s="12">
        <f>IF(C28="","",ROW()-5)</f>
        <v/>
      </c>
      <c r="C28" s="41" t="n"/>
      <c r="D28" s="42" t="n"/>
      <c r="E28" s="34" t="n"/>
      <c r="F28" s="43">
        <f>IF(C28="","",IF(D28="No",0,'Excursión'!$C$28))</f>
        <v/>
      </c>
      <c r="G28" s="44" t="n"/>
      <c r="H28" s="34" t="n"/>
      <c r="I28" s="45">
        <f>IF(C28="","",IF(D28="Sí",MAX(0,F28-N(G28)),0))</f>
        <v/>
      </c>
      <c r="J28" s="20">
        <f>IF(C28="","",IF(D28="No","No asiste",IF(D28="Sí",IF(N(G28)&gt;=F28,"Listo",IF(N(G28)&gt;0,"Pago parcial","Falta pago")),"Falta autorización")))</f>
        <v/>
      </c>
      <c r="K28" s="20">
        <f>IF(C28="","",IF(J28="Listo","OK",IF(J28="No asiste","—",IF('Excursión'!$C$11="","En plazo",IF(TODAY()&gt;'Excursión'!$C$11,"Reclamar",IF('Excursión'!$C$11-TODAY()&lt;='Excursión'!$C$12,"Recordar","En plazo"))))))</f>
        <v/>
      </c>
      <c r="L28" s="41" t="n"/>
      <c r="M28" s="41" t="n"/>
      <c r="N28" s="42" t="n"/>
      <c r="O28" s="41" t="n"/>
      <c r="P28" s="46">
        <f>IF(C28="","",IF(OR(J28="Listo",J28="No asiste"),"",IF(J28="Falta autorización",1000,0)+I28+ROW()/1000000))</f>
        <v/>
      </c>
      <c r="Q28" s="47">
        <f>IF(C28="","",IF(AND(D28="Sí",L28&lt;&gt;""),ROW(),""))</f>
        <v/>
      </c>
    </row>
    <row r="29">
      <c r="B29" s="12">
        <f>IF(C29="","",ROW()-5)</f>
        <v/>
      </c>
      <c r="C29" s="41" t="n"/>
      <c r="D29" s="42" t="n"/>
      <c r="E29" s="34" t="n"/>
      <c r="F29" s="43">
        <f>IF(C29="","",IF(D29="No",0,'Excursión'!$C$28))</f>
        <v/>
      </c>
      <c r="G29" s="44" t="n"/>
      <c r="H29" s="34" t="n"/>
      <c r="I29" s="45">
        <f>IF(C29="","",IF(D29="Sí",MAX(0,F29-N(G29)),0))</f>
        <v/>
      </c>
      <c r="J29" s="20">
        <f>IF(C29="","",IF(D29="No","No asiste",IF(D29="Sí",IF(N(G29)&gt;=F29,"Listo",IF(N(G29)&gt;0,"Pago parcial","Falta pago")),"Falta autorización")))</f>
        <v/>
      </c>
      <c r="K29" s="20">
        <f>IF(C29="","",IF(J29="Listo","OK",IF(J29="No asiste","—",IF('Excursión'!$C$11="","En plazo",IF(TODAY()&gt;'Excursión'!$C$11,"Reclamar",IF('Excursión'!$C$11-TODAY()&lt;='Excursión'!$C$12,"Recordar","En plazo"))))))</f>
        <v/>
      </c>
      <c r="L29" s="41" t="n"/>
      <c r="M29" s="41" t="n"/>
      <c r="N29" s="42" t="n"/>
      <c r="O29" s="41" t="n"/>
      <c r="P29" s="46">
        <f>IF(C29="","",IF(OR(J29="Listo",J29="No asiste"),"",IF(J29="Falta autorización",1000,0)+I29+ROW()/1000000))</f>
        <v/>
      </c>
      <c r="Q29" s="47">
        <f>IF(C29="","",IF(AND(D29="Sí",L29&lt;&gt;""),ROW(),""))</f>
        <v/>
      </c>
    </row>
    <row r="30">
      <c r="B30" s="12">
        <f>IF(C30="","",ROW()-5)</f>
        <v/>
      </c>
      <c r="C30" s="41" t="n"/>
      <c r="D30" s="42" t="n"/>
      <c r="E30" s="34" t="n"/>
      <c r="F30" s="43">
        <f>IF(C30="","",IF(D30="No",0,'Excursión'!$C$28))</f>
        <v/>
      </c>
      <c r="G30" s="44" t="n"/>
      <c r="H30" s="34" t="n"/>
      <c r="I30" s="45">
        <f>IF(C30="","",IF(D30="Sí",MAX(0,F30-N(G30)),0))</f>
        <v/>
      </c>
      <c r="J30" s="20">
        <f>IF(C30="","",IF(D30="No","No asiste",IF(D30="Sí",IF(N(G30)&gt;=F30,"Listo",IF(N(G30)&gt;0,"Pago parcial","Falta pago")),"Falta autorización")))</f>
        <v/>
      </c>
      <c r="K30" s="20">
        <f>IF(C30="","",IF(J30="Listo","OK",IF(J30="No asiste","—",IF('Excursión'!$C$11="","En plazo",IF(TODAY()&gt;'Excursión'!$C$11,"Reclamar",IF('Excursión'!$C$11-TODAY()&lt;='Excursión'!$C$12,"Recordar","En plazo"))))))</f>
        <v/>
      </c>
      <c r="L30" s="41" t="n"/>
      <c r="M30" s="41" t="n"/>
      <c r="N30" s="42" t="n"/>
      <c r="O30" s="41" t="n"/>
      <c r="P30" s="46">
        <f>IF(C30="","",IF(OR(J30="Listo",J30="No asiste"),"",IF(J30="Falta autorización",1000,0)+I30+ROW()/1000000))</f>
        <v/>
      </c>
      <c r="Q30" s="47">
        <f>IF(C30="","",IF(AND(D30="Sí",L30&lt;&gt;""),ROW(),""))</f>
        <v/>
      </c>
    </row>
    <row r="31">
      <c r="B31" s="12">
        <f>IF(C31="","",ROW()-5)</f>
        <v/>
      </c>
      <c r="C31" s="41" t="n"/>
      <c r="D31" s="42" t="n"/>
      <c r="E31" s="34" t="n"/>
      <c r="F31" s="43">
        <f>IF(C31="","",IF(D31="No",0,'Excursión'!$C$28))</f>
        <v/>
      </c>
      <c r="G31" s="44" t="n"/>
      <c r="H31" s="34" t="n"/>
      <c r="I31" s="45">
        <f>IF(C31="","",IF(D31="Sí",MAX(0,F31-N(G31)),0))</f>
        <v/>
      </c>
      <c r="J31" s="20">
        <f>IF(C31="","",IF(D31="No","No asiste",IF(D31="Sí",IF(N(G31)&gt;=F31,"Listo",IF(N(G31)&gt;0,"Pago parcial","Falta pago")),"Falta autorización")))</f>
        <v/>
      </c>
      <c r="K31" s="20">
        <f>IF(C31="","",IF(J31="Listo","OK",IF(J31="No asiste","—",IF('Excursión'!$C$11="","En plazo",IF(TODAY()&gt;'Excursión'!$C$11,"Reclamar",IF('Excursión'!$C$11-TODAY()&lt;='Excursión'!$C$12,"Recordar","En plazo"))))))</f>
        <v/>
      </c>
      <c r="L31" s="41" t="n"/>
      <c r="M31" s="41" t="n"/>
      <c r="N31" s="42" t="n"/>
      <c r="O31" s="41" t="n"/>
      <c r="P31" s="46">
        <f>IF(C31="","",IF(OR(J31="Listo",J31="No asiste"),"",IF(J31="Falta autorización",1000,0)+I31+ROW()/1000000))</f>
        <v/>
      </c>
      <c r="Q31" s="47">
        <f>IF(C31="","",IF(AND(D31="Sí",L31&lt;&gt;""),ROW(),""))</f>
        <v/>
      </c>
    </row>
    <row r="32">
      <c r="B32" s="12">
        <f>IF(C32="","",ROW()-5)</f>
        <v/>
      </c>
      <c r="C32" s="41" t="n"/>
      <c r="D32" s="42" t="n"/>
      <c r="E32" s="34" t="n"/>
      <c r="F32" s="43">
        <f>IF(C32="","",IF(D32="No",0,'Excursión'!$C$28))</f>
        <v/>
      </c>
      <c r="G32" s="44" t="n"/>
      <c r="H32" s="34" t="n"/>
      <c r="I32" s="45">
        <f>IF(C32="","",IF(D32="Sí",MAX(0,F32-N(G32)),0))</f>
        <v/>
      </c>
      <c r="J32" s="20">
        <f>IF(C32="","",IF(D32="No","No asiste",IF(D32="Sí",IF(N(G32)&gt;=F32,"Listo",IF(N(G32)&gt;0,"Pago parcial","Falta pago")),"Falta autorización")))</f>
        <v/>
      </c>
      <c r="K32" s="20">
        <f>IF(C32="","",IF(J32="Listo","OK",IF(J32="No asiste","—",IF('Excursión'!$C$11="","En plazo",IF(TODAY()&gt;'Excursión'!$C$11,"Reclamar",IF('Excursión'!$C$11-TODAY()&lt;='Excursión'!$C$12,"Recordar","En plazo"))))))</f>
        <v/>
      </c>
      <c r="L32" s="41" t="n"/>
      <c r="M32" s="41" t="n"/>
      <c r="N32" s="42" t="n"/>
      <c r="O32" s="41" t="n"/>
      <c r="P32" s="46">
        <f>IF(C32="","",IF(OR(J32="Listo",J32="No asiste"),"",IF(J32="Falta autorización",1000,0)+I32+ROW()/1000000))</f>
        <v/>
      </c>
      <c r="Q32" s="47">
        <f>IF(C32="","",IF(AND(D32="Sí",L32&lt;&gt;""),ROW(),""))</f>
        <v/>
      </c>
    </row>
    <row r="33">
      <c r="B33" s="12">
        <f>IF(C33="","",ROW()-5)</f>
        <v/>
      </c>
      <c r="C33" s="41" t="n"/>
      <c r="D33" s="42" t="n"/>
      <c r="E33" s="34" t="n"/>
      <c r="F33" s="43">
        <f>IF(C33="","",IF(D33="No",0,'Excursión'!$C$28))</f>
        <v/>
      </c>
      <c r="G33" s="44" t="n"/>
      <c r="H33" s="34" t="n"/>
      <c r="I33" s="45">
        <f>IF(C33="","",IF(D33="Sí",MAX(0,F33-N(G33)),0))</f>
        <v/>
      </c>
      <c r="J33" s="20">
        <f>IF(C33="","",IF(D33="No","No asiste",IF(D33="Sí",IF(N(G33)&gt;=F33,"Listo",IF(N(G33)&gt;0,"Pago parcial","Falta pago")),"Falta autorización")))</f>
        <v/>
      </c>
      <c r="K33" s="20">
        <f>IF(C33="","",IF(J33="Listo","OK",IF(J33="No asiste","—",IF('Excursión'!$C$11="","En plazo",IF(TODAY()&gt;'Excursión'!$C$11,"Reclamar",IF('Excursión'!$C$11-TODAY()&lt;='Excursión'!$C$12,"Recordar","En plazo"))))))</f>
        <v/>
      </c>
      <c r="L33" s="41" t="n"/>
      <c r="M33" s="41" t="n"/>
      <c r="N33" s="42" t="n"/>
      <c r="O33" s="41" t="n"/>
      <c r="P33" s="46">
        <f>IF(C33="","",IF(OR(J33="Listo",J33="No asiste"),"",IF(J33="Falta autorización",1000,0)+I33+ROW()/1000000))</f>
        <v/>
      </c>
      <c r="Q33" s="47">
        <f>IF(C33="","",IF(AND(D33="Sí",L33&lt;&gt;""),ROW(),""))</f>
        <v/>
      </c>
    </row>
    <row r="34">
      <c r="B34" s="12">
        <f>IF(C34="","",ROW()-5)</f>
        <v/>
      </c>
      <c r="C34" s="41" t="n"/>
      <c r="D34" s="42" t="n"/>
      <c r="E34" s="34" t="n"/>
      <c r="F34" s="43">
        <f>IF(C34="","",IF(D34="No",0,'Excursión'!$C$28))</f>
        <v/>
      </c>
      <c r="G34" s="44" t="n"/>
      <c r="H34" s="34" t="n"/>
      <c r="I34" s="45">
        <f>IF(C34="","",IF(D34="Sí",MAX(0,F34-N(G34)),0))</f>
        <v/>
      </c>
      <c r="J34" s="20">
        <f>IF(C34="","",IF(D34="No","No asiste",IF(D34="Sí",IF(N(G34)&gt;=F34,"Listo",IF(N(G34)&gt;0,"Pago parcial","Falta pago")),"Falta autorización")))</f>
        <v/>
      </c>
      <c r="K34" s="20">
        <f>IF(C34="","",IF(J34="Listo","OK",IF(J34="No asiste","—",IF('Excursión'!$C$11="","En plazo",IF(TODAY()&gt;'Excursión'!$C$11,"Reclamar",IF('Excursión'!$C$11-TODAY()&lt;='Excursión'!$C$12,"Recordar","En plazo"))))))</f>
        <v/>
      </c>
      <c r="L34" s="41" t="n"/>
      <c r="M34" s="41" t="n"/>
      <c r="N34" s="42" t="n"/>
      <c r="O34" s="41" t="n"/>
      <c r="P34" s="46">
        <f>IF(C34="","",IF(OR(J34="Listo",J34="No asiste"),"",IF(J34="Falta autorización",1000,0)+I34+ROW()/1000000))</f>
        <v/>
      </c>
      <c r="Q34" s="47">
        <f>IF(C34="","",IF(AND(D34="Sí",L34&lt;&gt;""),ROW(),""))</f>
        <v/>
      </c>
    </row>
    <row r="35">
      <c r="B35" s="12">
        <f>IF(C35="","",ROW()-5)</f>
        <v/>
      </c>
      <c r="C35" s="41" t="n"/>
      <c r="D35" s="42" t="n"/>
      <c r="E35" s="34" t="n"/>
      <c r="F35" s="43">
        <f>IF(C35="","",IF(D35="No",0,'Excursión'!$C$28))</f>
        <v/>
      </c>
      <c r="G35" s="44" t="n"/>
      <c r="H35" s="34" t="n"/>
      <c r="I35" s="45">
        <f>IF(C35="","",IF(D35="Sí",MAX(0,F35-N(G35)),0))</f>
        <v/>
      </c>
      <c r="J35" s="20">
        <f>IF(C35="","",IF(D35="No","No asiste",IF(D35="Sí",IF(N(G35)&gt;=F35,"Listo",IF(N(G35)&gt;0,"Pago parcial","Falta pago")),"Falta autorización")))</f>
        <v/>
      </c>
      <c r="K35" s="20">
        <f>IF(C35="","",IF(J35="Listo","OK",IF(J35="No asiste","—",IF('Excursión'!$C$11="","En plazo",IF(TODAY()&gt;'Excursión'!$C$11,"Reclamar",IF('Excursión'!$C$11-TODAY()&lt;='Excursión'!$C$12,"Recordar","En plazo"))))))</f>
        <v/>
      </c>
      <c r="L35" s="41" t="n"/>
      <c r="M35" s="41" t="n"/>
      <c r="N35" s="42" t="n"/>
      <c r="O35" s="41" t="n"/>
      <c r="P35" s="46">
        <f>IF(C35="","",IF(OR(J35="Listo",J35="No asiste"),"",IF(J35="Falta autorización",1000,0)+I35+ROW()/1000000))</f>
        <v/>
      </c>
      <c r="Q35" s="47">
        <f>IF(C35="","",IF(AND(D35="Sí",L35&lt;&gt;""),ROW(),""))</f>
        <v/>
      </c>
    </row>
    <row r="36">
      <c r="B36" s="12">
        <f>IF(C36="","",ROW()-5)</f>
        <v/>
      </c>
      <c r="C36" s="41" t="n"/>
      <c r="D36" s="42" t="n"/>
      <c r="E36" s="34" t="n"/>
      <c r="F36" s="43">
        <f>IF(C36="","",IF(D36="No",0,'Excursión'!$C$28))</f>
        <v/>
      </c>
      <c r="G36" s="44" t="n"/>
      <c r="H36" s="34" t="n"/>
      <c r="I36" s="45">
        <f>IF(C36="","",IF(D36="Sí",MAX(0,F36-N(G36)),0))</f>
        <v/>
      </c>
      <c r="J36" s="20">
        <f>IF(C36="","",IF(D36="No","No asiste",IF(D36="Sí",IF(N(G36)&gt;=F36,"Listo",IF(N(G36)&gt;0,"Pago parcial","Falta pago")),"Falta autorización")))</f>
        <v/>
      </c>
      <c r="K36" s="20">
        <f>IF(C36="","",IF(J36="Listo","OK",IF(J36="No asiste","—",IF('Excursión'!$C$11="","En plazo",IF(TODAY()&gt;'Excursión'!$C$11,"Reclamar",IF('Excursión'!$C$11-TODAY()&lt;='Excursión'!$C$12,"Recordar","En plazo"))))))</f>
        <v/>
      </c>
      <c r="L36" s="41" t="n"/>
      <c r="M36" s="41" t="n"/>
      <c r="N36" s="42" t="n"/>
      <c r="O36" s="41" t="n"/>
      <c r="P36" s="46">
        <f>IF(C36="","",IF(OR(J36="Listo",J36="No asiste"),"",IF(J36="Falta autorización",1000,0)+I36+ROW()/1000000))</f>
        <v/>
      </c>
      <c r="Q36" s="47">
        <f>IF(C36="","",IF(AND(D36="Sí",L36&lt;&gt;""),ROW(),""))</f>
        <v/>
      </c>
    </row>
    <row r="37">
      <c r="B37" s="12">
        <f>IF(C37="","",ROW()-5)</f>
        <v/>
      </c>
      <c r="C37" s="41" t="n"/>
      <c r="D37" s="42" t="n"/>
      <c r="E37" s="34" t="n"/>
      <c r="F37" s="43">
        <f>IF(C37="","",IF(D37="No",0,'Excursión'!$C$28))</f>
        <v/>
      </c>
      <c r="G37" s="44" t="n"/>
      <c r="H37" s="34" t="n"/>
      <c r="I37" s="45">
        <f>IF(C37="","",IF(D37="Sí",MAX(0,F37-N(G37)),0))</f>
        <v/>
      </c>
      <c r="J37" s="20">
        <f>IF(C37="","",IF(D37="No","No asiste",IF(D37="Sí",IF(N(G37)&gt;=F37,"Listo",IF(N(G37)&gt;0,"Pago parcial","Falta pago")),"Falta autorización")))</f>
        <v/>
      </c>
      <c r="K37" s="20">
        <f>IF(C37="","",IF(J37="Listo","OK",IF(J37="No asiste","—",IF('Excursión'!$C$11="","En plazo",IF(TODAY()&gt;'Excursión'!$C$11,"Reclamar",IF('Excursión'!$C$11-TODAY()&lt;='Excursión'!$C$12,"Recordar","En plazo"))))))</f>
        <v/>
      </c>
      <c r="L37" s="41" t="n"/>
      <c r="M37" s="41" t="n"/>
      <c r="N37" s="42" t="n"/>
      <c r="O37" s="41" t="n"/>
      <c r="P37" s="46">
        <f>IF(C37="","",IF(OR(J37="Listo",J37="No asiste"),"",IF(J37="Falta autorización",1000,0)+I37+ROW()/1000000))</f>
        <v/>
      </c>
      <c r="Q37" s="47">
        <f>IF(C37="","",IF(AND(D37="Sí",L37&lt;&gt;""),ROW(),""))</f>
        <v/>
      </c>
    </row>
    <row r="38">
      <c r="B38" s="12">
        <f>IF(C38="","",ROW()-5)</f>
        <v/>
      </c>
      <c r="C38" s="41" t="n"/>
      <c r="D38" s="42" t="n"/>
      <c r="E38" s="34" t="n"/>
      <c r="F38" s="43">
        <f>IF(C38="","",IF(D38="No",0,'Excursión'!$C$28))</f>
        <v/>
      </c>
      <c r="G38" s="44" t="n"/>
      <c r="H38" s="34" t="n"/>
      <c r="I38" s="45">
        <f>IF(C38="","",IF(D38="Sí",MAX(0,F38-N(G38)),0))</f>
        <v/>
      </c>
      <c r="J38" s="20">
        <f>IF(C38="","",IF(D38="No","No asiste",IF(D38="Sí",IF(N(G38)&gt;=F38,"Listo",IF(N(G38)&gt;0,"Pago parcial","Falta pago")),"Falta autorización")))</f>
        <v/>
      </c>
      <c r="K38" s="20">
        <f>IF(C38="","",IF(J38="Listo","OK",IF(J38="No asiste","—",IF('Excursión'!$C$11="","En plazo",IF(TODAY()&gt;'Excursión'!$C$11,"Reclamar",IF('Excursión'!$C$11-TODAY()&lt;='Excursión'!$C$12,"Recordar","En plazo"))))))</f>
        <v/>
      </c>
      <c r="L38" s="41" t="n"/>
      <c r="M38" s="41" t="n"/>
      <c r="N38" s="42" t="n"/>
      <c r="O38" s="41" t="n"/>
      <c r="P38" s="46">
        <f>IF(C38="","",IF(OR(J38="Listo",J38="No asiste"),"",IF(J38="Falta autorización",1000,0)+I38+ROW()/1000000))</f>
        <v/>
      </c>
      <c r="Q38" s="47">
        <f>IF(C38="","",IF(AND(D38="Sí",L38&lt;&gt;""),ROW(),""))</f>
        <v/>
      </c>
    </row>
    <row r="39">
      <c r="B39" s="12">
        <f>IF(C39="","",ROW()-5)</f>
        <v/>
      </c>
      <c r="C39" s="41" t="n"/>
      <c r="D39" s="42" t="n"/>
      <c r="E39" s="34" t="n"/>
      <c r="F39" s="43">
        <f>IF(C39="","",IF(D39="No",0,'Excursión'!$C$28))</f>
        <v/>
      </c>
      <c r="G39" s="44" t="n"/>
      <c r="H39" s="34" t="n"/>
      <c r="I39" s="45">
        <f>IF(C39="","",IF(D39="Sí",MAX(0,F39-N(G39)),0))</f>
        <v/>
      </c>
      <c r="J39" s="20">
        <f>IF(C39="","",IF(D39="No","No asiste",IF(D39="Sí",IF(N(G39)&gt;=F39,"Listo",IF(N(G39)&gt;0,"Pago parcial","Falta pago")),"Falta autorización")))</f>
        <v/>
      </c>
      <c r="K39" s="20">
        <f>IF(C39="","",IF(J39="Listo","OK",IF(J39="No asiste","—",IF('Excursión'!$C$11="","En plazo",IF(TODAY()&gt;'Excursión'!$C$11,"Reclamar",IF('Excursión'!$C$11-TODAY()&lt;='Excursión'!$C$12,"Recordar","En plazo"))))))</f>
        <v/>
      </c>
      <c r="L39" s="41" t="n"/>
      <c r="M39" s="41" t="n"/>
      <c r="N39" s="42" t="n"/>
      <c r="O39" s="41" t="n"/>
      <c r="P39" s="46">
        <f>IF(C39="","",IF(OR(J39="Listo",J39="No asiste"),"",IF(J39="Falta autorización",1000,0)+I39+ROW()/1000000))</f>
        <v/>
      </c>
      <c r="Q39" s="47">
        <f>IF(C39="","",IF(AND(D39="Sí",L39&lt;&gt;""),ROW(),""))</f>
        <v/>
      </c>
    </row>
    <row r="40">
      <c r="B40" s="12">
        <f>IF(C40="","",ROW()-5)</f>
        <v/>
      </c>
      <c r="C40" s="41" t="n"/>
      <c r="D40" s="42" t="n"/>
      <c r="E40" s="34" t="n"/>
      <c r="F40" s="43">
        <f>IF(C40="","",IF(D40="No",0,'Excursión'!$C$28))</f>
        <v/>
      </c>
      <c r="G40" s="44" t="n"/>
      <c r="H40" s="34" t="n"/>
      <c r="I40" s="45">
        <f>IF(C40="","",IF(D40="Sí",MAX(0,F40-N(G40)),0))</f>
        <v/>
      </c>
      <c r="J40" s="20">
        <f>IF(C40="","",IF(D40="No","No asiste",IF(D40="Sí",IF(N(G40)&gt;=F40,"Listo",IF(N(G40)&gt;0,"Pago parcial","Falta pago")),"Falta autorización")))</f>
        <v/>
      </c>
      <c r="K40" s="20">
        <f>IF(C40="","",IF(J40="Listo","OK",IF(J40="No asiste","—",IF('Excursión'!$C$11="","En plazo",IF(TODAY()&gt;'Excursión'!$C$11,"Reclamar",IF('Excursión'!$C$11-TODAY()&lt;='Excursión'!$C$12,"Recordar","En plazo"))))))</f>
        <v/>
      </c>
      <c r="L40" s="41" t="n"/>
      <c r="M40" s="41" t="n"/>
      <c r="N40" s="42" t="n"/>
      <c r="O40" s="41" t="n"/>
      <c r="P40" s="46">
        <f>IF(C40="","",IF(OR(J40="Listo",J40="No asiste"),"",IF(J40="Falta autorización",1000,0)+I40+ROW()/1000000))</f>
        <v/>
      </c>
      <c r="Q40" s="47">
        <f>IF(C40="","",IF(AND(D40="Sí",L40&lt;&gt;""),ROW(),""))</f>
        <v/>
      </c>
    </row>
    <row r="41">
      <c r="B41" s="12">
        <f>IF(C41="","",ROW()-5)</f>
        <v/>
      </c>
      <c r="C41" s="41" t="n"/>
      <c r="D41" s="42" t="n"/>
      <c r="E41" s="34" t="n"/>
      <c r="F41" s="43">
        <f>IF(C41="","",IF(D41="No",0,'Excursión'!$C$28))</f>
        <v/>
      </c>
      <c r="G41" s="44" t="n"/>
      <c r="H41" s="34" t="n"/>
      <c r="I41" s="45">
        <f>IF(C41="","",IF(D41="Sí",MAX(0,F41-N(G41)),0))</f>
        <v/>
      </c>
      <c r="J41" s="20">
        <f>IF(C41="","",IF(D41="No","No asiste",IF(D41="Sí",IF(N(G41)&gt;=F41,"Listo",IF(N(G41)&gt;0,"Pago parcial","Falta pago")),"Falta autorización")))</f>
        <v/>
      </c>
      <c r="K41" s="20">
        <f>IF(C41="","",IF(J41="Listo","OK",IF(J41="No asiste","—",IF('Excursión'!$C$11="","En plazo",IF(TODAY()&gt;'Excursión'!$C$11,"Reclamar",IF('Excursión'!$C$11-TODAY()&lt;='Excursión'!$C$12,"Recordar","En plazo"))))))</f>
        <v/>
      </c>
      <c r="L41" s="41" t="n"/>
      <c r="M41" s="41" t="n"/>
      <c r="N41" s="42" t="n"/>
      <c r="O41" s="41" t="n"/>
      <c r="P41" s="46">
        <f>IF(C41="","",IF(OR(J41="Listo",J41="No asiste"),"",IF(J41="Falta autorización",1000,0)+I41+ROW()/1000000))</f>
        <v/>
      </c>
      <c r="Q41" s="47">
        <f>IF(C41="","",IF(AND(D41="Sí",L41&lt;&gt;""),ROW(),""))</f>
        <v/>
      </c>
    </row>
    <row r="42">
      <c r="B42" s="12">
        <f>IF(C42="","",ROW()-5)</f>
        <v/>
      </c>
      <c r="C42" s="41" t="n"/>
      <c r="D42" s="42" t="n"/>
      <c r="E42" s="34" t="n"/>
      <c r="F42" s="43">
        <f>IF(C42="","",IF(D42="No",0,'Excursión'!$C$28))</f>
        <v/>
      </c>
      <c r="G42" s="44" t="n"/>
      <c r="H42" s="34" t="n"/>
      <c r="I42" s="45">
        <f>IF(C42="","",IF(D42="Sí",MAX(0,F42-N(G42)),0))</f>
        <v/>
      </c>
      <c r="J42" s="20">
        <f>IF(C42="","",IF(D42="No","No asiste",IF(D42="Sí",IF(N(G42)&gt;=F42,"Listo",IF(N(G42)&gt;0,"Pago parcial","Falta pago")),"Falta autorización")))</f>
        <v/>
      </c>
      <c r="K42" s="20">
        <f>IF(C42="","",IF(J42="Listo","OK",IF(J42="No asiste","—",IF('Excursión'!$C$11="","En plazo",IF(TODAY()&gt;'Excursión'!$C$11,"Reclamar",IF('Excursión'!$C$11-TODAY()&lt;='Excursión'!$C$12,"Recordar","En plazo"))))))</f>
        <v/>
      </c>
      <c r="L42" s="41" t="n"/>
      <c r="M42" s="41" t="n"/>
      <c r="N42" s="42" t="n"/>
      <c r="O42" s="41" t="n"/>
      <c r="P42" s="46">
        <f>IF(C42="","",IF(OR(J42="Listo",J42="No asiste"),"",IF(J42="Falta autorización",1000,0)+I42+ROW()/1000000))</f>
        <v/>
      </c>
      <c r="Q42" s="47">
        <f>IF(C42="","",IF(AND(D42="Sí",L42&lt;&gt;""),ROW(),""))</f>
        <v/>
      </c>
    </row>
    <row r="43">
      <c r="B43" s="12">
        <f>IF(C43="","",ROW()-5)</f>
        <v/>
      </c>
      <c r="C43" s="41" t="n"/>
      <c r="D43" s="42" t="n"/>
      <c r="E43" s="34" t="n"/>
      <c r="F43" s="43">
        <f>IF(C43="","",IF(D43="No",0,'Excursión'!$C$28))</f>
        <v/>
      </c>
      <c r="G43" s="44" t="n"/>
      <c r="H43" s="34" t="n"/>
      <c r="I43" s="45">
        <f>IF(C43="","",IF(D43="Sí",MAX(0,F43-N(G43)),0))</f>
        <v/>
      </c>
      <c r="J43" s="20">
        <f>IF(C43="","",IF(D43="No","No asiste",IF(D43="Sí",IF(N(G43)&gt;=F43,"Listo",IF(N(G43)&gt;0,"Pago parcial","Falta pago")),"Falta autorización")))</f>
        <v/>
      </c>
      <c r="K43" s="20">
        <f>IF(C43="","",IF(J43="Listo","OK",IF(J43="No asiste","—",IF('Excursión'!$C$11="","En plazo",IF(TODAY()&gt;'Excursión'!$C$11,"Reclamar",IF('Excursión'!$C$11-TODAY()&lt;='Excursión'!$C$12,"Recordar","En plazo"))))))</f>
        <v/>
      </c>
      <c r="L43" s="41" t="n"/>
      <c r="M43" s="41" t="n"/>
      <c r="N43" s="42" t="n"/>
      <c r="O43" s="41" t="n"/>
      <c r="P43" s="46">
        <f>IF(C43="","",IF(OR(J43="Listo",J43="No asiste"),"",IF(J43="Falta autorización",1000,0)+I43+ROW()/1000000))</f>
        <v/>
      </c>
      <c r="Q43" s="47">
        <f>IF(C43="","",IF(AND(D43="Sí",L43&lt;&gt;""),ROW(),""))</f>
        <v/>
      </c>
    </row>
    <row r="44">
      <c r="B44" s="12">
        <f>IF(C44="","",ROW()-5)</f>
        <v/>
      </c>
      <c r="C44" s="41" t="n"/>
      <c r="D44" s="42" t="n"/>
      <c r="E44" s="34" t="n"/>
      <c r="F44" s="43">
        <f>IF(C44="","",IF(D44="No",0,'Excursión'!$C$28))</f>
        <v/>
      </c>
      <c r="G44" s="44" t="n"/>
      <c r="H44" s="34" t="n"/>
      <c r="I44" s="45">
        <f>IF(C44="","",IF(D44="Sí",MAX(0,F44-N(G44)),0))</f>
        <v/>
      </c>
      <c r="J44" s="20">
        <f>IF(C44="","",IF(D44="No","No asiste",IF(D44="Sí",IF(N(G44)&gt;=F44,"Listo",IF(N(G44)&gt;0,"Pago parcial","Falta pago")),"Falta autorización")))</f>
        <v/>
      </c>
      <c r="K44" s="20">
        <f>IF(C44="","",IF(J44="Listo","OK",IF(J44="No asiste","—",IF('Excursión'!$C$11="","En plazo",IF(TODAY()&gt;'Excursión'!$C$11,"Reclamar",IF('Excursión'!$C$11-TODAY()&lt;='Excursión'!$C$12,"Recordar","En plazo"))))))</f>
        <v/>
      </c>
      <c r="L44" s="41" t="n"/>
      <c r="M44" s="41" t="n"/>
      <c r="N44" s="42" t="n"/>
      <c r="O44" s="41" t="n"/>
      <c r="P44" s="46">
        <f>IF(C44="","",IF(OR(J44="Listo",J44="No asiste"),"",IF(J44="Falta autorización",1000,0)+I44+ROW()/1000000))</f>
        <v/>
      </c>
      <c r="Q44" s="47">
        <f>IF(C44="","",IF(AND(D44="Sí",L44&lt;&gt;""),ROW(),""))</f>
        <v/>
      </c>
    </row>
    <row r="45">
      <c r="B45" s="12">
        <f>IF(C45="","",ROW()-5)</f>
        <v/>
      </c>
      <c r="C45" s="41" t="n"/>
      <c r="D45" s="42" t="n"/>
      <c r="E45" s="34" t="n"/>
      <c r="F45" s="43">
        <f>IF(C45="","",IF(D45="No",0,'Excursión'!$C$28))</f>
        <v/>
      </c>
      <c r="G45" s="44" t="n"/>
      <c r="H45" s="34" t="n"/>
      <c r="I45" s="45">
        <f>IF(C45="","",IF(D45="Sí",MAX(0,F45-N(G45)),0))</f>
        <v/>
      </c>
      <c r="J45" s="20">
        <f>IF(C45="","",IF(D45="No","No asiste",IF(D45="Sí",IF(N(G45)&gt;=F45,"Listo",IF(N(G45)&gt;0,"Pago parcial","Falta pago")),"Falta autorización")))</f>
        <v/>
      </c>
      <c r="K45" s="20">
        <f>IF(C45="","",IF(J45="Listo","OK",IF(J45="No asiste","—",IF('Excursión'!$C$11="","En plazo",IF(TODAY()&gt;'Excursión'!$C$11,"Reclamar",IF('Excursión'!$C$11-TODAY()&lt;='Excursión'!$C$12,"Recordar","En plazo"))))))</f>
        <v/>
      </c>
      <c r="L45" s="41" t="n"/>
      <c r="M45" s="41" t="n"/>
      <c r="N45" s="42" t="n"/>
      <c r="O45" s="41" t="n"/>
      <c r="P45" s="46">
        <f>IF(C45="","",IF(OR(J45="Listo",J45="No asiste"),"",IF(J45="Falta autorización",1000,0)+I45+ROW()/1000000))</f>
        <v/>
      </c>
      <c r="Q45" s="47">
        <f>IF(C45="","",IF(AND(D45="Sí",L45&lt;&gt;""),ROW(),""))</f>
        <v/>
      </c>
    </row>
    <row r="46">
      <c r="B46" s="15" t="inlineStr"/>
      <c r="C46" s="15" t="inlineStr">
        <is>
          <t>Totales</t>
        </is>
      </c>
      <c r="D46" s="15" t="inlineStr"/>
      <c r="E46" s="15" t="inlineStr"/>
      <c r="F46" s="18">
        <f>SUM(F6:F45)</f>
        <v/>
      </c>
      <c r="G46" s="18">
        <f>SUM(G6:G45)</f>
        <v/>
      </c>
      <c r="H46" s="15" t="inlineStr"/>
      <c r="I46" s="18">
        <f>SUM(I6:I45)</f>
        <v/>
      </c>
      <c r="J46" s="15" t="inlineStr"/>
      <c r="K46" s="15" t="inlineStr"/>
      <c r="L46" s="15" t="inlineStr"/>
      <c r="M46" s="15" t="inlineStr"/>
      <c r="N46" s="15" t="inlineStr"/>
      <c r="O46" s="15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J6:J45">
    <cfRule type="cellIs" priority="1" operator="equal" dxfId="1">
      <formula>"Listo"</formula>
    </cfRule>
    <cfRule type="cellIs" priority="2" operator="equal" dxfId="2">
      <formula>"Pago parcial"</formula>
    </cfRule>
    <cfRule type="cellIs" priority="3" operator="equal" dxfId="0">
      <formula>"Falta pago"</formula>
    </cfRule>
    <cfRule type="cellIs" priority="4" operator="equal" dxfId="0">
      <formula>"Falta autorización"</formula>
    </cfRule>
  </conditionalFormatting>
  <conditionalFormatting sqref="K6:K45">
    <cfRule type="cellIs" priority="5" operator="equal" dxfId="0">
      <formula>"Reclamar"</formula>
    </cfRule>
    <cfRule type="cellIs" priority="6" operator="equal" dxfId="2">
      <formula>"Recordar"</formula>
    </cfRule>
  </conditionalFormatting>
  <conditionalFormatting sqref="L6:L45">
    <cfRule type="expression" priority="7" dxfId="2">
      <formula>AND($D6="Sí",$L6&lt;&gt;"")</formula>
    </cfRule>
  </conditionalFormatting>
  <conditionalFormatting sqref="G6:G45">
    <cfRule type="dataBar" priority="8">
      <dataBar>
        <cfvo type="num" val="0"/>
        <cfvo type="max"/>
        <color rgb="0010B981"/>
      </dataBar>
    </cfRule>
  </conditionalFormatting>
  <dataValidations count="3">
    <dataValidation sqref="D6:D45" showDropDown="0" showInputMessage="0" showErrorMessage="0" allowBlank="1" type="list">
      <formula1>=Listas!$A$2:$A$4</formula1>
    </dataValidation>
    <dataValidation sqref="G6:G45" showDropDown="0" showInputMessage="0" showErrorMessage="1" allowBlank="1" errorTitle="Importe" error="Escribe un importe igual o mayor que 0." type="decimal" operator="greaterThanOrEqual">
      <formula1>0</formula1>
    </dataValidation>
    <dataValidation sqref="E6:E45 H6:H45" showDropDown="0" showInputMessage="0" showErrorMessage="1" allowBlank="1" errorTitle="Fecha" error="Escribe una fecha válida, por ejemplo 02/10/2026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2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" customWidth="1" min="2" max="2"/>
    <col width="50" customWidth="1" min="3" max="3"/>
    <col width="18" customWidth="1" min="4" max="4"/>
    <col width="13" customWidth="1" min="5" max="5"/>
    <col width="14" customWidth="1" min="6" max="6"/>
    <col width="11" customWidth="1" min="7" max="7"/>
    <col width="14" customWidth="1" min="8" max="8"/>
    <col width="34" customWidth="1" min="9" max="9"/>
  </cols>
  <sheetData>
    <row r="2" ht="34" customHeight="1">
      <c r="B2" s="1" t="inlineStr">
        <is>
          <t>Checklist de la salida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Cada tarea tiene una fecha límite que se calcula restando los días indicados a la fecha de salida.</t>
        </is>
      </c>
    </row>
    <row r="5" ht="36" customHeight="1">
      <c r="B5" s="10" t="inlineStr">
        <is>
          <t>Nº</t>
        </is>
      </c>
      <c r="C5" s="10" t="inlineStr">
        <is>
          <t>Tarea</t>
        </is>
      </c>
      <c r="D5" s="10" t="inlineStr">
        <is>
          <t>Responsable</t>
        </is>
      </c>
      <c r="E5" s="10" t="inlineStr">
        <is>
          <t>Días antes de la salida</t>
        </is>
      </c>
      <c r="F5" s="10" t="inlineStr">
        <is>
          <t>Fecha límite</t>
        </is>
      </c>
      <c r="G5" s="10" t="inlineStr">
        <is>
          <t>¿Hecho?</t>
        </is>
      </c>
      <c r="H5" s="10" t="inlineStr">
        <is>
          <t>Estado</t>
        </is>
      </c>
      <c r="I5" s="10" t="inlineStr">
        <is>
          <t>Notas</t>
        </is>
      </c>
    </row>
    <row r="6">
      <c r="B6" s="12">
        <f>IF(C6="","",ROW()-5)</f>
        <v/>
      </c>
      <c r="C6" s="41" t="inlineStr">
        <is>
          <t>Obtener la aprobación de la dirección del centro</t>
        </is>
      </c>
      <c r="D6" s="42" t="inlineStr">
        <is>
          <t>Jefatura</t>
        </is>
      </c>
      <c r="E6" s="36" t="n">
        <v>45</v>
      </c>
      <c r="F6" s="48">
        <f>IF(OR(C6="",E6="",'Excursión'!$C$8=""),"",'Excursión'!$C$8-E6)</f>
        <v/>
      </c>
      <c r="G6" s="42" t="inlineStr">
        <is>
          <t>Sí</t>
        </is>
      </c>
      <c r="H6" s="20">
        <f>IF(C6="","",IF(G6="Sí","Hecho",IF(F6="","Pendiente",IF(F6&lt;TODAY(),"Atrasada",IF(F6-TODAY()&lt;=3,"Urgente","Pendiente")))))</f>
        <v/>
      </c>
      <c r="I6" s="41" t="n"/>
    </row>
    <row r="7">
      <c r="B7" s="12">
        <f>IF(C7="","",ROW()-5)</f>
        <v/>
      </c>
      <c r="C7" s="41" t="inlineStr">
        <is>
          <t>Reservar el autobús</t>
        </is>
      </c>
      <c r="D7" s="42" t="inlineStr">
        <is>
          <t>Secretaría</t>
        </is>
      </c>
      <c r="E7" s="36" t="n">
        <v>40</v>
      </c>
      <c r="F7" s="48">
        <f>IF(OR(C7="",E7="",'Excursión'!$C$8=""),"",'Excursión'!$C$8-E7)</f>
        <v/>
      </c>
      <c r="G7" s="42" t="inlineStr">
        <is>
          <t>Sí</t>
        </is>
      </c>
      <c r="H7" s="20">
        <f>IF(C7="","",IF(G7="Sí","Hecho",IF(F7="","Pendiente",IF(F7&lt;TODAY(),"Atrasada",IF(F7-TODAY()&lt;=3,"Urgente","Pendiente")))))</f>
        <v/>
      </c>
      <c r="I7" s="41" t="inlineStr">
        <is>
          <t>Presupuesto cerrado</t>
        </is>
      </c>
    </row>
    <row r="8">
      <c r="B8" s="12">
        <f>IF(C8="","",ROW()-5)</f>
        <v/>
      </c>
      <c r="C8" s="41" t="inlineStr">
        <is>
          <t>Reservar la visita y el taller</t>
        </is>
      </c>
      <c r="D8" s="42" t="inlineStr">
        <is>
          <t>Tutora</t>
        </is>
      </c>
      <c r="E8" s="36" t="n">
        <v>40</v>
      </c>
      <c r="F8" s="48">
        <f>IF(OR(C8="",E8="",'Excursión'!$C$8=""),"",'Excursión'!$C$8-E8)</f>
        <v/>
      </c>
      <c r="G8" s="42" t="inlineStr">
        <is>
          <t>Sí</t>
        </is>
      </c>
      <c r="H8" s="20">
        <f>IF(C8="","",IF(G8="Sí","Hecho",IF(F8="","Pendiente",IF(F8&lt;TODAY(),"Atrasada",IF(F8-TODAY()&lt;=3,"Urgente","Pendiente")))))</f>
        <v/>
      </c>
      <c r="I8" s="41" t="n"/>
    </row>
    <row r="9">
      <c r="B9" s="12">
        <f>IF(C9="","",ROW()-5)</f>
        <v/>
      </c>
      <c r="C9" s="41" t="inlineStr">
        <is>
          <t>Enviar la circular y la autorización a las familias</t>
        </is>
      </c>
      <c r="D9" s="42" t="inlineStr">
        <is>
          <t>Tutora</t>
        </is>
      </c>
      <c r="E9" s="36" t="n">
        <v>30</v>
      </c>
      <c r="F9" s="48">
        <f>IF(OR(C9="",E9="",'Excursión'!$C$8=""),"",'Excursión'!$C$8-E9)</f>
        <v/>
      </c>
      <c r="G9" s="42" t="inlineStr">
        <is>
          <t>Sí</t>
        </is>
      </c>
      <c r="H9" s="20">
        <f>IF(C9="","",IF(G9="Sí","Hecho",IF(F9="","Pendiente",IF(F9&lt;TODAY(),"Atrasada",IF(F9-TODAY()&lt;=3,"Urgente","Pendiente")))))</f>
        <v/>
      </c>
      <c r="I9" s="41" t="inlineStr">
        <is>
          <t>Por agenda y correo</t>
        </is>
      </c>
    </row>
    <row r="10">
      <c r="B10" s="12">
        <f>IF(C10="","",ROW()-5)</f>
        <v/>
      </c>
      <c r="C10" s="41" t="inlineStr">
        <is>
          <t>Confirmar los docentes acompañantes</t>
        </is>
      </c>
      <c r="D10" s="42" t="inlineStr">
        <is>
          <t>Jefatura</t>
        </is>
      </c>
      <c r="E10" s="36" t="n">
        <v>14</v>
      </c>
      <c r="F10" s="48">
        <f>IF(OR(C10="",E10="",'Excursión'!$C$8=""),"",'Excursión'!$C$8-E10)</f>
        <v/>
      </c>
      <c r="G10" s="42" t="inlineStr">
        <is>
          <t>Sí</t>
        </is>
      </c>
      <c r="H10" s="20">
        <f>IF(C10="","",IF(G10="Sí","Hecho",IF(F10="","Pendiente",IF(F10&lt;TODAY(),"Atrasada",IF(F10-TODAY()&lt;=3,"Urgente","Pendiente")))))</f>
        <v/>
      </c>
      <c r="I10" s="41" t="n"/>
    </row>
    <row r="11">
      <c r="B11" s="12">
        <f>IF(C11="","",ROW()-5)</f>
        <v/>
      </c>
      <c r="C11" s="41" t="inlineStr">
        <is>
          <t>Recoger las autorizaciones firmadas</t>
        </is>
      </c>
      <c r="D11" s="42" t="inlineStr">
        <is>
          <t>Tutora</t>
        </is>
      </c>
      <c r="E11" s="36" t="n">
        <v>13</v>
      </c>
      <c r="F11" s="48">
        <f>IF(OR(C11="",E11="",'Excursión'!$C$8=""),"",'Excursión'!$C$8-E11)</f>
        <v/>
      </c>
      <c r="G11" s="42" t="inlineStr">
        <is>
          <t>No</t>
        </is>
      </c>
      <c r="H11" s="20">
        <f>IF(C11="","",IF(G11="Sí","Hecho",IF(F11="","Pendiente",IF(F11&lt;TODAY(),"Atrasada",IF(F11-TODAY()&lt;=3,"Urgente","Pendiente")))))</f>
        <v/>
      </c>
      <c r="I11" s="41" t="inlineStr">
        <is>
          <t>Quedan tres por llegar</t>
        </is>
      </c>
    </row>
    <row r="12">
      <c r="B12" s="12">
        <f>IF(C12="","",ROW()-5)</f>
        <v/>
      </c>
      <c r="C12" s="41" t="inlineStr">
        <is>
          <t>Recoger las cuotas de los alumnos</t>
        </is>
      </c>
      <c r="D12" s="42" t="inlineStr">
        <is>
          <t>Tutora</t>
        </is>
      </c>
      <c r="E12" s="36" t="n">
        <v>13</v>
      </c>
      <c r="F12" s="48">
        <f>IF(OR(C12="",E12="",'Excursión'!$C$8=""),"",'Excursión'!$C$8-E12)</f>
        <v/>
      </c>
      <c r="G12" s="42" t="inlineStr">
        <is>
          <t>No</t>
        </is>
      </c>
      <c r="H12" s="20">
        <f>IF(C12="","",IF(G12="Sí","Hecho",IF(F12="","Pendiente",IF(F12&lt;TODAY(),"Atrasada",IF(F12-TODAY()&lt;=3,"Urgente","Pendiente")))))</f>
        <v/>
      </c>
      <c r="I12" s="41" t="n"/>
    </row>
    <row r="13">
      <c r="B13" s="12">
        <f>IF(C13="","",ROW()-5)</f>
        <v/>
      </c>
      <c r="C13" s="41" t="inlineStr">
        <is>
          <t>Avisar al comedor del número de alumnos</t>
        </is>
      </c>
      <c r="D13" s="42" t="inlineStr">
        <is>
          <t>Secretaría</t>
        </is>
      </c>
      <c r="E13" s="36" t="n">
        <v>7</v>
      </c>
      <c r="F13" s="48">
        <f>IF(OR(C13="",E13="",'Excursión'!$C$8=""),"",'Excursión'!$C$8-E13)</f>
        <v/>
      </c>
      <c r="G13" s="42" t="inlineStr">
        <is>
          <t>No</t>
        </is>
      </c>
      <c r="H13" s="20">
        <f>IF(C13="","",IF(G13="Sí","Hecho",IF(F13="","Pendiente",IF(F13&lt;TODAY(),"Atrasada",IF(F13-TODAY()&lt;=3,"Urgente","Pendiente")))))</f>
        <v/>
      </c>
      <c r="I13" s="41" t="n"/>
    </row>
    <row r="14">
      <c r="B14" s="12">
        <f>IF(C14="","",ROW()-5)</f>
        <v/>
      </c>
      <c r="C14" s="41" t="inlineStr">
        <is>
          <t>Revisar alergias e intolerancias con las familias</t>
        </is>
      </c>
      <c r="D14" s="42" t="inlineStr">
        <is>
          <t>Tutora</t>
        </is>
      </c>
      <c r="E14" s="36" t="n">
        <v>7</v>
      </c>
      <c r="F14" s="48">
        <f>IF(OR(C14="",E14="",'Excursión'!$C$8=""),"",'Excursión'!$C$8-E14)</f>
        <v/>
      </c>
      <c r="G14" s="42" t="inlineStr">
        <is>
          <t>No</t>
        </is>
      </c>
      <c r="H14" s="20">
        <f>IF(C14="","",IF(G14="Sí","Hecho",IF(F14="","Pendiente",IF(F14&lt;TODAY(),"Atrasada",IF(F14-TODAY()&lt;=3,"Urgente","Pendiente")))))</f>
        <v/>
      </c>
      <c r="I14" s="41" t="n"/>
    </row>
    <row r="15">
      <c r="B15" s="12">
        <f>IF(C15="","",ROW()-5)</f>
        <v/>
      </c>
      <c r="C15" s="41" t="inlineStr">
        <is>
          <t>Comunicar hora y punto de encuentro</t>
        </is>
      </c>
      <c r="D15" s="42" t="inlineStr">
        <is>
          <t>Tutora</t>
        </is>
      </c>
      <c r="E15" s="36" t="n">
        <v>5</v>
      </c>
      <c r="F15" s="48">
        <f>IF(OR(C15="",E15="",'Excursión'!$C$8=""),"",'Excursión'!$C$8-E15)</f>
        <v/>
      </c>
      <c r="G15" s="42" t="inlineStr">
        <is>
          <t>No</t>
        </is>
      </c>
      <c r="H15" s="20">
        <f>IF(C15="","",IF(G15="Sí","Hecho",IF(F15="","Pendiente",IF(F15&lt;TODAY(),"Atrasada",IF(F15-TODAY()&lt;=3,"Urgente","Pendiente")))))</f>
        <v/>
      </c>
      <c r="I15" s="41" t="n"/>
    </row>
    <row r="16">
      <c r="B16" s="12">
        <f>IF(C16="","",ROW()-5)</f>
        <v/>
      </c>
      <c r="C16" s="41" t="inlineStr">
        <is>
          <t>Imprimir el listado de contactos de emergencia</t>
        </is>
      </c>
      <c r="D16" s="42" t="inlineStr">
        <is>
          <t>Tutora</t>
        </is>
      </c>
      <c r="E16" s="36" t="n">
        <v>3</v>
      </c>
      <c r="F16" s="48">
        <f>IF(OR(C16="",E16="",'Excursión'!$C$8=""),"",'Excursión'!$C$8-E16)</f>
        <v/>
      </c>
      <c r="G16" s="42" t="inlineStr">
        <is>
          <t>No</t>
        </is>
      </c>
      <c r="H16" s="20">
        <f>IF(C16="","",IF(G16="Sí","Hecho",IF(F16="","Pendiente",IF(F16&lt;TODAY(),"Atrasada",IF(F16-TODAY()&lt;=3,"Urgente","Pendiente")))))</f>
        <v/>
      </c>
      <c r="I16" s="41" t="n"/>
    </row>
    <row r="17">
      <c r="B17" s="12">
        <f>IF(C17="","",ROW()-5)</f>
        <v/>
      </c>
      <c r="C17" s="41" t="inlineStr">
        <is>
          <t>Preparar el botiquín y la lista de medicación autorizada</t>
        </is>
      </c>
      <c r="D17" s="42" t="inlineStr">
        <is>
          <t>Acompañante</t>
        </is>
      </c>
      <c r="E17" s="36" t="n">
        <v>2</v>
      </c>
      <c r="F17" s="48">
        <f>IF(OR(C17="",E17="",'Excursión'!$C$8=""),"",'Excursión'!$C$8-E17)</f>
        <v/>
      </c>
      <c r="G17" s="42" t="inlineStr">
        <is>
          <t>No</t>
        </is>
      </c>
      <c r="H17" s="20">
        <f>IF(C17="","",IF(G17="Sí","Hecho",IF(F17="","Pendiente",IF(F17&lt;TODAY(),"Atrasada",IF(F17-TODAY()&lt;=3,"Urgente","Pendiente")))))</f>
        <v/>
      </c>
      <c r="I17" s="41" t="n"/>
    </row>
    <row r="18">
      <c r="B18" s="12">
        <f>IF(C18="","",ROW()-5)</f>
        <v/>
      </c>
      <c r="C18" s="41" t="inlineStr">
        <is>
          <t>Revisar el tiempo y avisar de la ropa adecuada</t>
        </is>
      </c>
      <c r="D18" s="42" t="inlineStr">
        <is>
          <t>Tutora</t>
        </is>
      </c>
      <c r="E18" s="36" t="n">
        <v>1</v>
      </c>
      <c r="F18" s="48">
        <f>IF(OR(C18="",E18="",'Excursión'!$C$8=""),"",'Excursión'!$C$8-E18)</f>
        <v/>
      </c>
      <c r="G18" s="42" t="inlineStr">
        <is>
          <t>No</t>
        </is>
      </c>
      <c r="H18" s="20">
        <f>IF(C18="","",IF(G18="Sí","Hecho",IF(F18="","Pendiente",IF(F18&lt;TODAY(),"Atrasada",IF(F18-TODAY()&lt;=3,"Urgente","Pendiente")))))</f>
        <v/>
      </c>
      <c r="I18" s="41" t="n"/>
    </row>
    <row r="19">
      <c r="B19" s="12">
        <f>IF(C19="","",ROW()-5)</f>
        <v/>
      </c>
      <c r="C19" s="41" t="inlineStr">
        <is>
          <t>Pasar lista al subir y al bajar del autobús</t>
        </is>
      </c>
      <c r="D19" s="42" t="inlineStr">
        <is>
          <t>Todos</t>
        </is>
      </c>
      <c r="E19" s="36" t="n">
        <v>0</v>
      </c>
      <c r="F19" s="48">
        <f>IF(OR(C19="",E19="",'Excursión'!$C$8=""),"",'Excursión'!$C$8-E19)</f>
        <v/>
      </c>
      <c r="G19" s="42" t="inlineStr">
        <is>
          <t>No</t>
        </is>
      </c>
      <c r="H19" s="20">
        <f>IF(C19="","",IF(G19="Sí","Hecho",IF(F19="","Pendiente",IF(F19&lt;TODAY(),"Atrasada",IF(F19-TODAY()&lt;=3,"Urgente","Pendiente")))))</f>
        <v/>
      </c>
      <c r="I19" s="41" t="inlineStr">
        <is>
          <t>El mismo día</t>
        </is>
      </c>
    </row>
    <row r="20">
      <c r="B20" s="12">
        <f>IF(C20="","",ROW()-5)</f>
        <v/>
      </c>
      <c r="C20" s="41" t="n"/>
      <c r="D20" s="42" t="n"/>
      <c r="E20" s="36" t="n"/>
      <c r="F20" s="48">
        <f>IF(OR(C20="",E20="",'Excursión'!$C$8=""),"",'Excursión'!$C$8-E20)</f>
        <v/>
      </c>
      <c r="G20" s="42" t="n"/>
      <c r="H20" s="20">
        <f>IF(C20="","",IF(G20="Sí","Hecho",IF(F20="","Pendiente",IF(F20&lt;TODAY(),"Atrasada",IF(F20-TODAY()&lt;=3,"Urgente","Pendiente")))))</f>
        <v/>
      </c>
      <c r="I20" s="41" t="n"/>
    </row>
    <row r="21">
      <c r="B21" s="12">
        <f>IF(C21="","",ROW()-5)</f>
        <v/>
      </c>
      <c r="C21" s="41" t="n"/>
      <c r="D21" s="42" t="n"/>
      <c r="E21" s="36" t="n"/>
      <c r="F21" s="48">
        <f>IF(OR(C21="",E21="",'Excursión'!$C$8=""),"",'Excursión'!$C$8-E21)</f>
        <v/>
      </c>
      <c r="G21" s="42" t="n"/>
      <c r="H21" s="20">
        <f>IF(C21="","",IF(G21="Sí","Hecho",IF(F21="","Pendiente",IF(F21&lt;TODAY(),"Atrasada",IF(F21-TODAY()&lt;=3,"Urgente","Pendiente")))))</f>
        <v/>
      </c>
      <c r="I21" s="41" t="n"/>
    </row>
    <row r="22">
      <c r="B22" s="12">
        <f>IF(C22="","",ROW()-5)</f>
        <v/>
      </c>
      <c r="C22" s="41" t="n"/>
      <c r="D22" s="42" t="n"/>
      <c r="E22" s="36" t="n"/>
      <c r="F22" s="48">
        <f>IF(OR(C22="",E22="",'Excursión'!$C$8=""),"",'Excursión'!$C$8-E22)</f>
        <v/>
      </c>
      <c r="G22" s="42" t="n"/>
      <c r="H22" s="20">
        <f>IF(C22="","",IF(G22="Sí","Hecho",IF(F22="","Pendiente",IF(F22&lt;TODAY(),"Atrasada",IF(F22-TODAY()&lt;=3,"Urgente","Pendiente")))))</f>
        <v/>
      </c>
      <c r="I22" s="41" t="n"/>
    </row>
    <row r="23">
      <c r="B23" s="12">
        <f>IF(C23="","",ROW()-5)</f>
        <v/>
      </c>
      <c r="C23" s="41" t="n"/>
      <c r="D23" s="42" t="n"/>
      <c r="E23" s="36" t="n"/>
      <c r="F23" s="48">
        <f>IF(OR(C23="",E23="",'Excursión'!$C$8=""),"",'Excursión'!$C$8-E23)</f>
        <v/>
      </c>
      <c r="G23" s="42" t="n"/>
      <c r="H23" s="20">
        <f>IF(C23="","",IF(G23="Sí","Hecho",IF(F23="","Pendiente",IF(F23&lt;TODAY(),"Atrasada",IF(F23-TODAY()&lt;=3,"Urgente","Pendiente")))))</f>
        <v/>
      </c>
      <c r="I23" s="41" t="n"/>
    </row>
    <row r="24">
      <c r="B24" s="12">
        <f>IF(C24="","",ROW()-5)</f>
        <v/>
      </c>
      <c r="C24" s="41" t="n"/>
      <c r="D24" s="42" t="n"/>
      <c r="E24" s="36" t="n"/>
      <c r="F24" s="48">
        <f>IF(OR(C24="",E24="",'Excursión'!$C$8=""),"",'Excursión'!$C$8-E24)</f>
        <v/>
      </c>
      <c r="G24" s="42" t="n"/>
      <c r="H24" s="20">
        <f>IF(C24="","",IF(G24="Sí","Hecho",IF(F24="","Pendiente",IF(F24&lt;TODAY(),"Atrasada",IF(F24-TODAY()&lt;=3,"Urgente","Pendiente")))))</f>
        <v/>
      </c>
      <c r="I24" s="41" t="n"/>
    </row>
    <row r="25">
      <c r="B25" s="12">
        <f>IF(C25="","",ROW()-5)</f>
        <v/>
      </c>
      <c r="C25" s="41" t="n"/>
      <c r="D25" s="42" t="n"/>
      <c r="E25" s="36" t="n"/>
      <c r="F25" s="48">
        <f>IF(OR(C25="",E25="",'Excursión'!$C$8=""),"",'Excursión'!$C$8-E25)</f>
        <v/>
      </c>
      <c r="G25" s="42" t="n"/>
      <c r="H25" s="20">
        <f>IF(C25="","",IF(G25="Sí","Hecho",IF(F25="","Pendiente",IF(F25&lt;TODAY(),"Atrasada",IF(F25-TODAY()&lt;=3,"Urgente","Pendiente")))))</f>
        <v/>
      </c>
      <c r="I25" s="41" t="n"/>
    </row>
    <row r="26">
      <c r="C26" s="15" t="inlineStr">
        <is>
          <t>Tareas hechas</t>
        </is>
      </c>
      <c r="D26" s="15">
        <f>COUNTIF(G6:G25,"Sí")&amp;" de "&amp;COUNTA(C6:C25)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H6:H25">
    <cfRule type="cellIs" priority="1" operator="equal" dxfId="1">
      <formula>"Hecho"</formula>
    </cfRule>
    <cfRule type="cellIs" priority="2" operator="equal" dxfId="0">
      <formula>"Atrasada"</formula>
    </cfRule>
    <cfRule type="cellIs" priority="3" operator="equal" dxfId="2">
      <formula>"Urgente"</formula>
    </cfRule>
  </conditionalFormatting>
  <dataValidations count="2">
    <dataValidation sqref="G6:G25" showDropDown="0" showInputMessage="0" showErrorMessage="0" allowBlank="1" type="list">
      <formula1>=Listas!$B$2:$B$3</formula1>
    </dataValidation>
    <dataValidation sqref="E6:E25" showDropDown="0" showInputMessage="0" showErrorMessage="1" allowBlank="1" errorTitle="Días" error="Escribe un número entero de días igual o mayor que 0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Control de excursiones y autorizaciones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49" t="inlineStr">
        <is>
          <t>1.  Empieza por la hoja «Excursión»: escribe la actividad, el destino, la fecha de salida (C8), el límite para entregar autorización y pago (C11) y los costes (C13 a C16).</t>
        </is>
      </c>
    </row>
    <row r="7" ht="30" customHeight="1">
      <c r="B7" s="49" t="inlineStr">
        <is>
          <t>2.  Indica cuántos docentes o acompañantes van (C17) y la ratio de referencia de alumnos por acompañante (C18). Es un parámetro editable: consulta la norma de tu centro o de tu comunidad.</t>
        </is>
      </c>
    </row>
    <row r="8" ht="30" customHeight="1">
      <c r="B8" s="49" t="inlineStr">
        <is>
          <t>3.  En «Alumnos» escribe el nombre de cada alumno (hasta 40 filas). La cuota sale sola: costes fijos ÷ alumnos + entrada y taller. Si prefieres otra cantidad, escríbela en la cuota manual (C19).</t>
        </is>
      </c>
    </row>
    <row r="9" ht="30" customHeight="1">
      <c r="B9" s="49" t="inlineStr">
        <is>
          <t>4.  Cuando una familia devuelva la autorización, elige «Sí» o «No» en el desplegable y anota la fecha. Mientras esté en blanco o en «Pendiente», el estado será «Falta autorización».</t>
        </is>
      </c>
    </row>
    <row r="10" ht="30" customHeight="1">
      <c r="B10" s="49" t="inlineStr">
        <is>
          <t>5.  Cuando llegue un pago, apúntalo en «Pagado» con su fecha. El estado cambia solo a «Pago parcial» o «Listo» y la columna «Pendiente (€)» se actualiza.</t>
        </is>
      </c>
    </row>
    <row r="11" ht="30" customHeight="1">
      <c r="B11" s="49" t="inlineStr">
        <is>
          <t>6.  Anota las alergias, intolerancias o necesidades en su columna y el contacto de la familia: se resaltan en ámbar y aparecen en el Panel para tenerlos a mano el día de la salida.</t>
        </is>
      </c>
    </row>
    <row r="12" ht="30" customHeight="1">
      <c r="B12" s="49" t="inlineStr">
        <is>
          <t>7.  Sigue la hoja «Checklist»: cada tarea tiene responsable y días antes de la salida; la fecha límite se calcula sola y el estado pasa a «Urgente» o «Atrasada» según la fecha de hoy.</t>
        </is>
      </c>
    </row>
    <row r="13" ht="30" customHeight="1">
      <c r="B13" s="49" t="inlineStr">
        <is>
          <t>8.  Consulta el «Panel»: KPIs, alumnos por estado, quién falta por avisar, coste por alumno, saldo previsto y un mensaje listo para copiar a las familias.</t>
        </is>
      </c>
    </row>
    <row r="15">
      <c r="B15" s="9" t="inlineStr">
        <is>
          <t>CONSEJOS</t>
        </is>
      </c>
    </row>
    <row r="16" ht="30" customHeight="1">
      <c r="B16" s="49" t="inlineStr">
        <is>
          <t>•  Los nombres, teléfonos, importes y fechas de ejemplo son ficticios; bórralos y escribe los tuyos. Los avisos usan la fecha de hoy (TODAY) y se actualizan solos.</t>
        </is>
      </c>
    </row>
    <row r="17" ht="30" customHeight="1">
      <c r="B17" s="49" t="inlineStr">
        <is>
          <t>•  Si no se apuntan todos los alumnos, el coste fijo se reparte entre menos: mira «Cuota si van solo los autorizados» y el «Saldo previsto» antes de cerrar la cuota.</t>
        </is>
      </c>
    </row>
    <row r="18" ht="30" customHeight="1">
      <c r="B18" s="49" t="inlineStr">
        <is>
          <t>•  Las listas desplegables están en la hoja oculta «Listas» (clic derecho sobre una pestaña &gt; Mostrar). No cambies el número de opciones.</t>
        </is>
      </c>
    </row>
    <row r="19" ht="30" customHeight="1">
      <c r="B19" s="49" t="inlineStr">
        <is>
          <t>•  Las columnas P y Q de «Alumnos» están ocultas y las usa el Panel para ordenar los pendientes y las alergias: no las borres.</t>
        </is>
      </c>
    </row>
    <row r="20" ht="30" customHeight="1">
      <c r="B20" s="49" t="inlineStr">
        <is>
          <t>•  Las hojas están protegidas sin contraseña para no romper fórmulas: Revisar &gt; Desproteger hoja si quieres modificar algo.</t>
        </is>
      </c>
    </row>
    <row r="22">
      <c r="B22" s="50" t="inlineStr">
        <is>
          <t>Las celdas con fondo crema y texto azul son para rellenar; las verdes se calculan solas.</t>
        </is>
      </c>
    </row>
    <row r="24" ht="44" customHeight="1">
      <c r="B24" s="51" t="inlineStr">
        <is>
          <t>Aviso: esta plantilla solo sirve para organizar y registrar la información de una salida escolar. Contiene datos de menores y de salud (alergias): trátalos con confidencialidad, no compartas el archivo sin necesidad y cumple la normativa de protección de datos y los protocolos de tu centro. Los parámetros (ratio, costes, plazos) son orientativos y los defines tú; no sustituye la autorización oficial ni el criterio del centro o de un profesional sanitario.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Autorización</t>
        </is>
      </c>
      <c r="B1" t="inlineStr">
        <is>
          <t>Hecho</t>
        </is>
      </c>
    </row>
    <row r="2">
      <c r="A2" t="inlineStr">
        <is>
          <t>Sí</t>
        </is>
      </c>
      <c r="B2" t="inlineStr">
        <is>
          <t>Sí</t>
        </is>
      </c>
    </row>
    <row r="3">
      <c r="A3" t="inlineStr">
        <is>
          <t>No</t>
        </is>
      </c>
      <c r="B3" t="inlineStr">
        <is>
          <t>No</t>
        </is>
      </c>
    </row>
    <row r="4">
      <c r="A4" t="inlineStr">
        <is>
          <t>Pendiente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2026-10-03T09:47:13Z</dcterms:created>
  <dcterms:modified xmlns:dcterms="http://purl.org/dc/terms/" xmlns:xsi="http://www.w3.org/2001/XMLSchema-instance" xsi:type="dcterms:W3CDTF">2026-10-03T09:47:13Z</dcterms:modified>
</cp:coreProperties>
</file>