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ategorías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i val="1"/>
      <color rgb="006B7280"/>
      <sz val="9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8" fillId="0" borderId="0" applyAlignment="1" pivotButton="0" quotePrefix="0" xfId="0">
      <alignment vertical="center"/>
    </xf>
    <xf numFmtId="164" fontId="6" fillId="5" borderId="1" applyAlignment="1" applyProtection="1" pivotButton="0" quotePrefix="0" xfId="0">
      <alignment horizontal="center" vertical="center"/>
      <protection locked="0" hidden="0"/>
    </xf>
    <xf numFmtId="1" fontId="7" fillId="0" borderId="1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164" fontId="11" fillId="6" borderId="0" applyAlignment="1" pivotButton="0" quotePrefix="0" xfId="0">
      <alignment horizontal="center" vertical="center"/>
    </xf>
    <xf numFmtId="1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4" fillId="3" borderId="1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164" fontId="6" fillId="5" borderId="1" applyAlignment="1" applyProtection="1" pivotButton="0" quotePrefix="0" xfId="0">
      <alignment vertical="center"/>
      <protection locked="0" hidden="0"/>
    </xf>
    <xf numFmtId="0" fontId="7" fillId="0" borderId="1" applyAlignment="1" pivotButton="0" quotePrefix="0" xfId="0">
      <alignment horizontal="center" vertical="center"/>
    </xf>
    <xf numFmtId="9" fontId="6" fillId="5" borderId="1" applyAlignment="1" applyProtection="1" pivotButton="0" quotePrefix="0" xfId="0">
      <alignment horizontal="center" vertical="center"/>
      <protection locked="0" hidden="0"/>
    </xf>
    <xf numFmtId="164" fontId="9" fillId="0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167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'Panel'!$C$21:$C$28</f>
            </numRef>
          </cat>
          <val>
            <numRef>
              <f>'Panel'!$D$21:$D$28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día de la semana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'Panel'!D31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'Panel'!$B$32:$B$38</f>
            </numRef>
          </cat>
          <val>
            <numRef>
              <f>'Panel'!$D$32:$D$38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semana del período (€)</a:t>
            </a:r>
          </a:p>
        </rich>
      </tx>
    </title>
    <plotArea>
      <lineChart>
        <grouping val="standard"/>
        <ser>
          <idx val="0"/>
          <order val="0"/>
          <tx>
            <strRef>
              <f>'Panel'!E44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'Panel'!$B$45:$B$49</f>
            </numRef>
          </cat>
          <val>
            <numRef>
              <f>'Panel'!$E$45:$E$49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39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5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24" customWidth="1" min="3" max="3"/>
    <col width="15" customWidth="1" min="4" max="4"/>
    <col width="15" customWidth="1" min="5" max="5"/>
    <col width="17" customWidth="1" min="6" max="6"/>
    <col width="17" customWidth="1" min="7" max="7"/>
    <col width="15" customWidth="1" min="8" max="8"/>
    <col width="15" customWidth="1" min="9" max="9"/>
    <col width="3" customWidth="1" min="10" max="10"/>
  </cols>
  <sheetData>
    <row r="2" ht="34" customHeight="1">
      <c r="B2" s="1" t="inlineStr">
        <is>
          <t>Panel de gastos hormiga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 se te va en pequeños gastos, cuánto serían al año y cuánto podrías ahorrar. Todo se calcula desde el Registro.</t>
        </is>
      </c>
    </row>
    <row r="5">
      <c r="B5" s="4" t="inlineStr">
        <is>
          <t>Inicio del período analizado</t>
        </is>
      </c>
      <c r="D5" s="5" t="n">
        <v>46266</v>
      </c>
      <c r="E5" s="6" t="inlineStr">
        <is>
          <t>Los gastos del Registro con fecha dentro de este rango son los que se analizan.</t>
        </is>
      </c>
    </row>
    <row r="6">
      <c r="B6" s="4" t="inlineStr">
        <is>
          <t>Fin del período analizado</t>
        </is>
      </c>
      <c r="D6" s="5" t="n">
        <v>46295</v>
      </c>
      <c r="E6" s="6" t="inlineStr">
        <is>
          <t>Puedes analizar una semana, un mes o varios meses: las proyecciones se ajustan solas.</t>
        </is>
      </c>
    </row>
    <row r="7">
      <c r="B7" s="4" t="inlineStr">
        <is>
          <t>Tope mensual que te propones (€)</t>
        </is>
      </c>
      <c r="D7" s="7" t="n">
        <v>100</v>
      </c>
      <c r="E7" s="6" t="inlineStr">
        <is>
          <t>Parámetro tuyo, no una cifra oficial: sirve para ver si tu ritmo de gasto lo supera.</t>
        </is>
      </c>
    </row>
    <row r="8">
      <c r="B8" s="4" t="inlineStr">
        <is>
          <t>Días del período</t>
        </is>
      </c>
      <c r="D8" s="8">
        <f>MAX(D6-D5+1,1)</f>
        <v/>
      </c>
    </row>
    <row r="10" ht="24" customHeight="1">
      <c r="B10" s="9" t="inlineStr">
        <is>
          <t>GASTADO EN EL PERÍODO</t>
        </is>
      </c>
      <c r="D10" s="9" t="inlineStr">
        <is>
          <t>MEDIA DIARIA</t>
        </is>
      </c>
      <c r="F10" s="9" t="inlineStr">
        <is>
          <t>PROYECCIÓN MENSUAL</t>
        </is>
      </c>
      <c r="H10" s="9" t="inlineStr">
        <is>
          <t>PROYECCIÓN ANUAL</t>
        </is>
      </c>
    </row>
    <row r="11" ht="34" customHeight="1">
      <c r="B11" s="10">
        <f>SUMIFS(Registro!$E$7:$E$66,Registro!$B$7:$B$66,"&gt;="&amp;Panel!$D$5,Registro!$B$7:$B$66,"&lt;="&amp;Panel!$D$6)</f>
        <v/>
      </c>
      <c r="D11" s="10">
        <f>B11/D8</f>
        <v/>
      </c>
      <c r="F11" s="10">
        <f>D11*365/12</f>
        <v/>
      </c>
      <c r="H11" s="10">
        <f>D11*365</f>
        <v/>
      </c>
    </row>
    <row r="13" ht="24" customHeight="1">
      <c r="B13" s="9" t="inlineStr">
        <is>
          <t>Nº DE GASTOS</t>
        </is>
      </c>
      <c r="D13" s="9" t="inlineStr">
        <is>
          <t>GASTO MEDIO POR COMPRA</t>
        </is>
      </c>
      <c r="F13" s="9" t="inlineStr">
        <is>
          <t>AHORRO ANUAL POTENCIAL</t>
        </is>
      </c>
      <c r="H13" s="9" t="inlineStr">
        <is>
          <t>USO DEL TOPE MENSUAL</t>
        </is>
      </c>
    </row>
    <row r="14" ht="34" customHeight="1">
      <c r="B14" s="11">
        <f>COUNTIFS(Registro!$B$7:$B$66,"&gt;="&amp;Panel!$D$5,Registro!$B$7:$B$66,"&lt;="&amp;Panel!$D$6)</f>
        <v/>
      </c>
      <c r="D14" s="10">
        <f>IF(B14=0,0,B11/B14)</f>
        <v/>
      </c>
      <c r="F14" s="10">
        <f>'Categorías'!I18</f>
        <v/>
      </c>
      <c r="H14" s="12">
        <f>IF(D7&gt;0,F11/D7,0)</f>
        <v/>
      </c>
    </row>
    <row r="16">
      <c r="B16" s="13">
        <f>IFERROR("Categoría que más pesa: "&amp;INDEX('Categorías'!B8:B17,MATCH(1,'Categorías'!J8:J17,0))&amp;" ("&amp;ROUND(INDEX('Categorías'!E8:E17,MATCH(1,'Categorías'!J8:J17,0))*100,0)&amp;" % del total)","")</f>
        <v/>
      </c>
    </row>
    <row r="17">
      <c r="B17" s="13">
        <f>IF(F11&gt;D7,"A este ritmo superas tu tope mensual en "&amp;ROUND(F11-D7,0)&amp;" €.","A este ritmo te mantienes dentro de tu tope mensual.")&amp;" Con tus recortes ahorrarías unos "&amp;ROUND(F14/12,0)&amp;" € al mes."</f>
        <v/>
      </c>
    </row>
    <row r="19">
      <c r="B19" s="14" t="inlineStr">
        <is>
          <t>RANKING DE CATEGORÍAS (de más a menos gasto)</t>
        </is>
      </c>
    </row>
    <row r="20" ht="32" customHeight="1">
      <c r="B20" s="15" t="inlineStr">
        <is>
          <t>Pos.</t>
        </is>
      </c>
      <c r="C20" s="15" t="inlineStr">
        <is>
          <t>Categoría</t>
        </is>
      </c>
      <c r="D20" s="15" t="inlineStr">
        <is>
          <t>Total período</t>
        </is>
      </c>
      <c r="E20" s="15" t="inlineStr">
        <is>
          <t>% del total</t>
        </is>
      </c>
      <c r="F20" s="15" t="inlineStr">
        <is>
          <t>Proyección anual</t>
        </is>
      </c>
      <c r="G20" s="15" t="inlineStr">
        <is>
          <t>Ahorro anual potencial</t>
        </is>
      </c>
    </row>
    <row r="21">
      <c r="B21" s="16" t="n">
        <v>1</v>
      </c>
      <c r="C21" s="17">
        <f>IFERROR(INDEX('Categorías'!$B$8:$B$17,MATCH(B21,'Categorías'!$J$8:$J$17,0)),"")</f>
        <v/>
      </c>
      <c r="D21" s="18">
        <f>IF(C21="","",INDEX('Categorías'!$D$8:$D$17,MATCH(B21,'Categorías'!$J$8:$J$17,0)))</f>
        <v/>
      </c>
      <c r="E21" s="19">
        <f>IF(C21="","",INDEX('Categorías'!$E$8:$E$17,MATCH(B21,'Categorías'!$J$8:$J$17,0)))</f>
        <v/>
      </c>
      <c r="F21" s="18">
        <f>IF(C21="","",INDEX('Categorías'!$G$8:$G$17,MATCH(B21,'Categorías'!$J$8:$J$17,0)))</f>
        <v/>
      </c>
      <c r="G21" s="18">
        <f>IF(C21="","",INDEX('Categorías'!$I$8:$I$17,MATCH(B21,'Categorías'!$J$8:$J$17,0)))</f>
        <v/>
      </c>
    </row>
    <row r="22">
      <c r="B22" s="16" t="n">
        <v>2</v>
      </c>
      <c r="C22" s="17">
        <f>IFERROR(INDEX('Categorías'!$B$8:$B$17,MATCH(B22,'Categorías'!$J$8:$J$17,0)),"")</f>
        <v/>
      </c>
      <c r="D22" s="18">
        <f>IF(C22="","",INDEX('Categorías'!$D$8:$D$17,MATCH(B22,'Categorías'!$J$8:$J$17,0)))</f>
        <v/>
      </c>
      <c r="E22" s="19">
        <f>IF(C22="","",INDEX('Categorías'!$E$8:$E$17,MATCH(B22,'Categorías'!$J$8:$J$17,0)))</f>
        <v/>
      </c>
      <c r="F22" s="18">
        <f>IF(C22="","",INDEX('Categorías'!$G$8:$G$17,MATCH(B22,'Categorías'!$J$8:$J$17,0)))</f>
        <v/>
      </c>
      <c r="G22" s="18">
        <f>IF(C22="","",INDEX('Categorías'!$I$8:$I$17,MATCH(B22,'Categorías'!$J$8:$J$17,0)))</f>
        <v/>
      </c>
    </row>
    <row r="23">
      <c r="B23" s="16" t="n">
        <v>3</v>
      </c>
      <c r="C23" s="17">
        <f>IFERROR(INDEX('Categorías'!$B$8:$B$17,MATCH(B23,'Categorías'!$J$8:$J$17,0)),"")</f>
        <v/>
      </c>
      <c r="D23" s="18">
        <f>IF(C23="","",INDEX('Categorías'!$D$8:$D$17,MATCH(B23,'Categorías'!$J$8:$J$17,0)))</f>
        <v/>
      </c>
      <c r="E23" s="19">
        <f>IF(C23="","",INDEX('Categorías'!$E$8:$E$17,MATCH(B23,'Categorías'!$J$8:$J$17,0)))</f>
        <v/>
      </c>
      <c r="F23" s="18">
        <f>IF(C23="","",INDEX('Categorías'!$G$8:$G$17,MATCH(B23,'Categorías'!$J$8:$J$17,0)))</f>
        <v/>
      </c>
      <c r="G23" s="18">
        <f>IF(C23="","",INDEX('Categorías'!$I$8:$I$17,MATCH(B23,'Categorías'!$J$8:$J$17,0)))</f>
        <v/>
      </c>
    </row>
    <row r="24">
      <c r="B24" s="16" t="n">
        <v>4</v>
      </c>
      <c r="C24" s="17">
        <f>IFERROR(INDEX('Categorías'!$B$8:$B$17,MATCH(B24,'Categorías'!$J$8:$J$17,0)),"")</f>
        <v/>
      </c>
      <c r="D24" s="18">
        <f>IF(C24="","",INDEX('Categorías'!$D$8:$D$17,MATCH(B24,'Categorías'!$J$8:$J$17,0)))</f>
        <v/>
      </c>
      <c r="E24" s="19">
        <f>IF(C24="","",INDEX('Categorías'!$E$8:$E$17,MATCH(B24,'Categorías'!$J$8:$J$17,0)))</f>
        <v/>
      </c>
      <c r="F24" s="18">
        <f>IF(C24="","",INDEX('Categorías'!$G$8:$G$17,MATCH(B24,'Categorías'!$J$8:$J$17,0)))</f>
        <v/>
      </c>
      <c r="G24" s="18">
        <f>IF(C24="","",INDEX('Categorías'!$I$8:$I$17,MATCH(B24,'Categorías'!$J$8:$J$17,0)))</f>
        <v/>
      </c>
    </row>
    <row r="25">
      <c r="B25" s="16" t="n">
        <v>5</v>
      </c>
      <c r="C25" s="17">
        <f>IFERROR(INDEX('Categorías'!$B$8:$B$17,MATCH(B25,'Categorías'!$J$8:$J$17,0)),"")</f>
        <v/>
      </c>
      <c r="D25" s="18">
        <f>IF(C25="","",INDEX('Categorías'!$D$8:$D$17,MATCH(B25,'Categorías'!$J$8:$J$17,0)))</f>
        <v/>
      </c>
      <c r="E25" s="19">
        <f>IF(C25="","",INDEX('Categorías'!$E$8:$E$17,MATCH(B25,'Categorías'!$J$8:$J$17,0)))</f>
        <v/>
      </c>
      <c r="F25" s="18">
        <f>IF(C25="","",INDEX('Categorías'!$G$8:$G$17,MATCH(B25,'Categorías'!$J$8:$J$17,0)))</f>
        <v/>
      </c>
      <c r="G25" s="18">
        <f>IF(C25="","",INDEX('Categorías'!$I$8:$I$17,MATCH(B25,'Categorías'!$J$8:$J$17,0)))</f>
        <v/>
      </c>
    </row>
    <row r="26">
      <c r="B26" s="16" t="n">
        <v>6</v>
      </c>
      <c r="C26" s="17">
        <f>IFERROR(INDEX('Categorías'!$B$8:$B$17,MATCH(B26,'Categorías'!$J$8:$J$17,0)),"")</f>
        <v/>
      </c>
      <c r="D26" s="18">
        <f>IF(C26="","",INDEX('Categorías'!$D$8:$D$17,MATCH(B26,'Categorías'!$J$8:$J$17,0)))</f>
        <v/>
      </c>
      <c r="E26" s="19">
        <f>IF(C26="","",INDEX('Categorías'!$E$8:$E$17,MATCH(B26,'Categorías'!$J$8:$J$17,0)))</f>
        <v/>
      </c>
      <c r="F26" s="18">
        <f>IF(C26="","",INDEX('Categorías'!$G$8:$G$17,MATCH(B26,'Categorías'!$J$8:$J$17,0)))</f>
        <v/>
      </c>
      <c r="G26" s="18">
        <f>IF(C26="","",INDEX('Categorías'!$I$8:$I$17,MATCH(B26,'Categorías'!$J$8:$J$17,0)))</f>
        <v/>
      </c>
    </row>
    <row r="27">
      <c r="B27" s="16" t="n">
        <v>7</v>
      </c>
      <c r="C27" s="17">
        <f>IFERROR(INDEX('Categorías'!$B$8:$B$17,MATCH(B27,'Categorías'!$J$8:$J$17,0)),"")</f>
        <v/>
      </c>
      <c r="D27" s="18">
        <f>IF(C27="","",INDEX('Categorías'!$D$8:$D$17,MATCH(B27,'Categorías'!$J$8:$J$17,0)))</f>
        <v/>
      </c>
      <c r="E27" s="19">
        <f>IF(C27="","",INDEX('Categorías'!$E$8:$E$17,MATCH(B27,'Categorías'!$J$8:$J$17,0)))</f>
        <v/>
      </c>
      <c r="F27" s="18">
        <f>IF(C27="","",INDEX('Categorías'!$G$8:$G$17,MATCH(B27,'Categorías'!$J$8:$J$17,0)))</f>
        <v/>
      </c>
      <c r="G27" s="18">
        <f>IF(C27="","",INDEX('Categorías'!$I$8:$I$17,MATCH(B27,'Categorías'!$J$8:$J$17,0)))</f>
        <v/>
      </c>
    </row>
    <row r="28">
      <c r="B28" s="16" t="n">
        <v>8</v>
      </c>
      <c r="C28" s="17">
        <f>IFERROR(INDEX('Categorías'!$B$8:$B$17,MATCH(B28,'Categorías'!$J$8:$J$17,0)),"")</f>
        <v/>
      </c>
      <c r="D28" s="18">
        <f>IF(C28="","",INDEX('Categorías'!$D$8:$D$17,MATCH(B28,'Categorías'!$J$8:$J$17,0)))</f>
        <v/>
      </c>
      <c r="E28" s="19">
        <f>IF(C28="","",INDEX('Categorías'!$E$8:$E$17,MATCH(B28,'Categorías'!$J$8:$J$17,0)))</f>
        <v/>
      </c>
      <c r="F28" s="18">
        <f>IF(C28="","",INDEX('Categorías'!$G$8:$G$17,MATCH(B28,'Categorías'!$J$8:$J$17,0)))</f>
        <v/>
      </c>
      <c r="G28" s="18">
        <f>IF(C28="","",INDEX('Categorías'!$I$8:$I$17,MATCH(B28,'Categorías'!$J$8:$J$17,0)))</f>
        <v/>
      </c>
    </row>
    <row r="29">
      <c r="B29" s="6" t="inlineStr">
        <is>
          <t>Se muestran las 8 categorías con más gasto; la hoja Categorías admite hasta 10.</t>
        </is>
      </c>
    </row>
    <row r="30">
      <c r="B30" s="14" t="inlineStr">
        <is>
          <t>GASTO POR DÍA DE LA SEMANA</t>
        </is>
      </c>
    </row>
    <row r="31" ht="26" customHeight="1">
      <c r="B31" s="15" t="inlineStr">
        <is>
          <t>Día</t>
        </is>
      </c>
      <c r="C31" s="15" t="inlineStr">
        <is>
          <t>Nº de gastos</t>
        </is>
      </c>
      <c r="D31" s="15" t="inlineStr">
        <is>
          <t>Total período</t>
        </is>
      </c>
      <c r="E31" s="15" t="inlineStr">
        <is>
          <t>% del total</t>
        </is>
      </c>
    </row>
    <row r="32">
      <c r="B32" s="20" t="inlineStr">
        <is>
          <t>Lun</t>
        </is>
      </c>
      <c r="C32" s="8">
        <f>COUNTIFS(Registro!$F$7:$F$66,B32,Registro!$B$7:$B$66,"&gt;="&amp;Panel!$D$5,Registro!$B$7:$B$66,"&lt;="&amp;Panel!$D$6)</f>
        <v/>
      </c>
      <c r="D32" s="18">
        <f>SUMIFS(Registro!$E$7:$E$66,Registro!$F$7:$F$66,B32,Registro!$B$7:$B$66,"&gt;="&amp;Panel!$D$5,Registro!$B$7:$B$66,"&lt;="&amp;Panel!$D$6)</f>
        <v/>
      </c>
      <c r="E32" s="19">
        <f>IF($B$11=0,0,D32/$B$11)</f>
        <v/>
      </c>
    </row>
    <row r="33">
      <c r="B33" s="20" t="inlineStr">
        <is>
          <t>Mar</t>
        </is>
      </c>
      <c r="C33" s="8">
        <f>COUNTIFS(Registro!$F$7:$F$66,B33,Registro!$B$7:$B$66,"&gt;="&amp;Panel!$D$5,Registro!$B$7:$B$66,"&lt;="&amp;Panel!$D$6)</f>
        <v/>
      </c>
      <c r="D33" s="18">
        <f>SUMIFS(Registro!$E$7:$E$66,Registro!$F$7:$F$66,B33,Registro!$B$7:$B$66,"&gt;="&amp;Panel!$D$5,Registro!$B$7:$B$66,"&lt;="&amp;Panel!$D$6)</f>
        <v/>
      </c>
      <c r="E33" s="19">
        <f>IF($B$11=0,0,D33/$B$11)</f>
        <v/>
      </c>
    </row>
    <row r="34">
      <c r="B34" s="20" t="inlineStr">
        <is>
          <t>Mié</t>
        </is>
      </c>
      <c r="C34" s="8">
        <f>COUNTIFS(Registro!$F$7:$F$66,B34,Registro!$B$7:$B$66,"&gt;="&amp;Panel!$D$5,Registro!$B$7:$B$66,"&lt;="&amp;Panel!$D$6)</f>
        <v/>
      </c>
      <c r="D34" s="18">
        <f>SUMIFS(Registro!$E$7:$E$66,Registro!$F$7:$F$66,B34,Registro!$B$7:$B$66,"&gt;="&amp;Panel!$D$5,Registro!$B$7:$B$66,"&lt;="&amp;Panel!$D$6)</f>
        <v/>
      </c>
      <c r="E34" s="19">
        <f>IF($B$11=0,0,D34/$B$11)</f>
        <v/>
      </c>
    </row>
    <row r="35">
      <c r="B35" s="20" t="inlineStr">
        <is>
          <t>Jue</t>
        </is>
      </c>
      <c r="C35" s="8">
        <f>COUNTIFS(Registro!$F$7:$F$66,B35,Registro!$B$7:$B$66,"&gt;="&amp;Panel!$D$5,Registro!$B$7:$B$66,"&lt;="&amp;Panel!$D$6)</f>
        <v/>
      </c>
      <c r="D35" s="18">
        <f>SUMIFS(Registro!$E$7:$E$66,Registro!$F$7:$F$66,B35,Registro!$B$7:$B$66,"&gt;="&amp;Panel!$D$5,Registro!$B$7:$B$66,"&lt;="&amp;Panel!$D$6)</f>
        <v/>
      </c>
      <c r="E35" s="19">
        <f>IF($B$11=0,0,D35/$B$11)</f>
        <v/>
      </c>
    </row>
    <row r="36">
      <c r="B36" s="20" t="inlineStr">
        <is>
          <t>Vie</t>
        </is>
      </c>
      <c r="C36" s="8">
        <f>COUNTIFS(Registro!$F$7:$F$66,B36,Registro!$B$7:$B$66,"&gt;="&amp;Panel!$D$5,Registro!$B$7:$B$66,"&lt;="&amp;Panel!$D$6)</f>
        <v/>
      </c>
      <c r="D36" s="18">
        <f>SUMIFS(Registro!$E$7:$E$66,Registro!$F$7:$F$66,B36,Registro!$B$7:$B$66,"&gt;="&amp;Panel!$D$5,Registro!$B$7:$B$66,"&lt;="&amp;Panel!$D$6)</f>
        <v/>
      </c>
      <c r="E36" s="19">
        <f>IF($B$11=0,0,D36/$B$11)</f>
        <v/>
      </c>
    </row>
    <row r="37">
      <c r="B37" s="20" t="inlineStr">
        <is>
          <t>Sáb</t>
        </is>
      </c>
      <c r="C37" s="8">
        <f>COUNTIFS(Registro!$F$7:$F$66,B37,Registro!$B$7:$B$66,"&gt;="&amp;Panel!$D$5,Registro!$B$7:$B$66,"&lt;="&amp;Panel!$D$6)</f>
        <v/>
      </c>
      <c r="D37" s="18">
        <f>SUMIFS(Registro!$E$7:$E$66,Registro!$F$7:$F$66,B37,Registro!$B$7:$B$66,"&gt;="&amp;Panel!$D$5,Registro!$B$7:$B$66,"&lt;="&amp;Panel!$D$6)</f>
        <v/>
      </c>
      <c r="E37" s="19">
        <f>IF($B$11=0,0,D37/$B$11)</f>
        <v/>
      </c>
    </row>
    <row r="38">
      <c r="B38" s="20" t="inlineStr">
        <is>
          <t>Dom</t>
        </is>
      </c>
      <c r="C38" s="8">
        <f>COUNTIFS(Registro!$F$7:$F$66,B38,Registro!$B$7:$B$66,"&gt;="&amp;Panel!$D$5,Registro!$B$7:$B$66,"&lt;="&amp;Panel!$D$6)</f>
        <v/>
      </c>
      <c r="D38" s="18">
        <f>SUMIFS(Registro!$E$7:$E$66,Registro!$F$7:$F$66,B38,Registro!$B$7:$B$66,"&gt;="&amp;Panel!$D$5,Registro!$B$7:$B$66,"&lt;="&amp;Panel!$D$6)</f>
        <v/>
      </c>
      <c r="E38" s="19">
        <f>IF($B$11=0,0,D38/$B$11)</f>
        <v/>
      </c>
    </row>
    <row r="39">
      <c r="B39" s="13">
        <f>"Día con más gasto: "&amp;INDEX(B32:B38,MATCH(MAX(D32:D38),D32:D38,0))</f>
        <v/>
      </c>
    </row>
    <row r="43">
      <c r="B43" s="14" t="inlineStr">
        <is>
          <t>EVOLUCIÓN POR SEMANAS DEL PERÍODO</t>
        </is>
      </c>
    </row>
    <row r="44" ht="26" customHeight="1">
      <c r="B44" s="15" t="inlineStr">
        <is>
          <t>Semana</t>
        </is>
      </c>
      <c r="C44" s="15" t="inlineStr">
        <is>
          <t>Desde</t>
        </is>
      </c>
      <c r="D44" s="15" t="inlineStr">
        <is>
          <t>Hasta</t>
        </is>
      </c>
      <c r="E44" s="15" t="inlineStr">
        <is>
          <t>Total semana</t>
        </is>
      </c>
      <c r="F44" s="15" t="inlineStr">
        <is>
          <t>Media diaria</t>
        </is>
      </c>
    </row>
    <row r="45">
      <c r="B45" s="16" t="n">
        <v>1</v>
      </c>
      <c r="C45" s="21">
        <f>IF($D$5+7*(B45-1)&gt;$D$6,"",$D$5+7*(B45-1))</f>
        <v/>
      </c>
      <c r="D45" s="21">
        <f>IF(C45="","",MIN($D$6,C45+6))</f>
        <v/>
      </c>
      <c r="E45" s="18">
        <f>IF(C45="","",SUMIF(Registro!$G$7:$G$66,B45,Registro!$E$7:$E$66))</f>
        <v/>
      </c>
      <c r="F45" s="18">
        <f>IF(C45="","",E45/(D45-C45+1))</f>
        <v/>
      </c>
    </row>
    <row r="46">
      <c r="B46" s="16" t="n">
        <v>2</v>
      </c>
      <c r="C46" s="21">
        <f>IF($D$5+7*(B46-1)&gt;$D$6,"",$D$5+7*(B46-1))</f>
        <v/>
      </c>
      <c r="D46" s="21">
        <f>IF(C46="","",MIN($D$6,C46+6))</f>
        <v/>
      </c>
      <c r="E46" s="18">
        <f>IF(C46="","",SUMIF(Registro!$G$7:$G$66,B46,Registro!$E$7:$E$66))</f>
        <v/>
      </c>
      <c r="F46" s="18">
        <f>IF(C46="","",E46/(D46-C46+1))</f>
        <v/>
      </c>
    </row>
    <row r="47">
      <c r="B47" s="16" t="n">
        <v>3</v>
      </c>
      <c r="C47" s="21">
        <f>IF($D$5+7*(B47-1)&gt;$D$6,"",$D$5+7*(B47-1))</f>
        <v/>
      </c>
      <c r="D47" s="21">
        <f>IF(C47="","",MIN($D$6,C47+6))</f>
        <v/>
      </c>
      <c r="E47" s="18">
        <f>IF(C47="","",SUMIF(Registro!$G$7:$G$66,B47,Registro!$E$7:$E$66))</f>
        <v/>
      </c>
      <c r="F47" s="18">
        <f>IF(C47="","",E47/(D47-C47+1))</f>
        <v/>
      </c>
    </row>
    <row r="48">
      <c r="B48" s="16" t="n">
        <v>4</v>
      </c>
      <c r="C48" s="21">
        <f>IF($D$5+7*(B48-1)&gt;$D$6,"",$D$5+7*(B48-1))</f>
        <v/>
      </c>
      <c r="D48" s="21">
        <f>IF(C48="","",MIN($D$6,C48+6))</f>
        <v/>
      </c>
      <c r="E48" s="18">
        <f>IF(C48="","",SUMIF(Registro!$G$7:$G$66,B48,Registro!$E$7:$E$66))</f>
        <v/>
      </c>
      <c r="F48" s="18">
        <f>IF(C48="","",E48/(D48-C48+1))</f>
        <v/>
      </c>
    </row>
    <row r="49">
      <c r="B49" s="16" t="n">
        <v>5</v>
      </c>
      <c r="C49" s="21">
        <f>IF($D$5+7*(B49-1)&gt;$D$6,"",$D$5+7*(B49-1))</f>
        <v/>
      </c>
      <c r="D49" s="21">
        <f>IF(C49="","",MIN($D$6,C49+6))</f>
        <v/>
      </c>
      <c r="E49" s="18">
        <f>IF(C49="","",SUMIF(Registro!$G$7:$G$66,B49,Registro!$E$7:$E$66))</f>
        <v/>
      </c>
      <c r="F49" s="18">
        <f>IF(C49="","",E49/(D49-C49+1))</f>
        <v/>
      </c>
    </row>
    <row r="50">
      <c r="B50" s="6" t="inlineStr">
        <is>
          <t>El gráfico semanal cubre las 5 primeras semanas desde la fecha de inicio.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4">
    <mergeCell ref="F11:G11"/>
    <mergeCell ref="D10:E10"/>
    <mergeCell ref="B7:C7"/>
    <mergeCell ref="F10:G10"/>
    <mergeCell ref="H10:I10"/>
    <mergeCell ref="B16:I16"/>
    <mergeCell ref="B3:I3"/>
    <mergeCell ref="B11:C11"/>
    <mergeCell ref="D11:E11"/>
    <mergeCell ref="B2:I2"/>
    <mergeCell ref="D13:E13"/>
    <mergeCell ref="B14:C14"/>
    <mergeCell ref="B8:C8"/>
    <mergeCell ref="B17:I17"/>
    <mergeCell ref="B13:C13"/>
    <mergeCell ref="H11:I11"/>
    <mergeCell ref="B10:C10"/>
    <mergeCell ref="F13:G13"/>
    <mergeCell ref="H13:I13"/>
    <mergeCell ref="B6:C6"/>
    <mergeCell ref="B5:C5"/>
    <mergeCell ref="D14:E14"/>
    <mergeCell ref="F14:G14"/>
    <mergeCell ref="H14:I14"/>
  </mergeCells>
  <conditionalFormatting sqref="H14">
    <cfRule type="expression" priority="1" dxfId="0">
      <formula>H14&gt;1</formula>
    </cfRule>
    <cfRule type="expression" priority="2" dxfId="1">
      <formula>H14&lt;=1</formula>
    </cfRule>
  </conditionalFormatting>
  <conditionalFormatting sqref="D21:D28">
    <cfRule type="dataBar" priority="3">
      <dataBar>
        <cfvo type="num" val="0"/>
        <cfvo type="max"/>
        <color rgb="00F59E0B"/>
      </dataBar>
    </cfRule>
  </conditionalFormatting>
  <conditionalFormatting sqref="G21:G28">
    <cfRule type="dataBar" priority="4">
      <dataBar>
        <cfvo type="num" val="0"/>
        <cfvo type="max"/>
        <color rgb="0010B981"/>
      </dataBar>
    </cfRule>
  </conditionalFormatting>
  <conditionalFormatting sqref="B21:C21">
    <cfRule type="expression" priority="5" dxfId="0">
      <formula>AND($C$21&lt;&gt;"",ROW()=21)</formula>
    </cfRule>
  </conditionalFormatting>
  <conditionalFormatting sqref="D32:D38">
    <cfRule type="dataBar" priority="6">
      <dataBar>
        <cfvo type="num" val="0"/>
        <cfvo type="max"/>
        <color rgb="0034D399"/>
      </dataBar>
    </cfRule>
  </conditionalFormatting>
  <conditionalFormatting sqref="E45:E49">
    <cfRule type="dataBar" priority="7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68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34" customWidth="1" min="3" max="3"/>
    <col width="25" customWidth="1" min="4" max="4"/>
    <col width="13" customWidth="1" min="5" max="5"/>
    <col width="9" customWidth="1" min="6" max="6"/>
    <col width="12" customWidth="1" min="7" max="7"/>
    <col width="13" customWidth="1" min="8" max="8"/>
  </cols>
  <sheetData>
    <row r="2" ht="34" customHeight="1">
      <c r="B2" s="1" t="inlineStr">
        <is>
          <t>Registro diario de gastos hormiga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Apunta cada pequeño gasto: fecha, concepto, categoría e importe (celdas crema). El resto se calcula solo.</t>
        </is>
      </c>
    </row>
    <row r="4">
      <c r="C4" s="22" t="inlineStr">
        <is>
          <t>Total de todos los registros</t>
        </is>
      </c>
      <c r="E4" s="23">
        <f>SUM(E7:E66)</f>
        <v/>
      </c>
    </row>
    <row r="6" ht="32" customHeight="1">
      <c r="B6" s="15" t="inlineStr">
        <is>
          <t>Fecha</t>
        </is>
      </c>
      <c r="C6" s="15" t="inlineStr">
        <is>
          <t>Concepto</t>
        </is>
      </c>
      <c r="D6" s="15" t="inlineStr">
        <is>
          <t>Categoría</t>
        </is>
      </c>
      <c r="E6" s="15" t="inlineStr">
        <is>
          <t>Importe</t>
        </is>
      </c>
      <c r="F6" s="15" t="inlineStr">
        <is>
          <t>Día</t>
        </is>
      </c>
      <c r="G6" s="15" t="inlineStr">
        <is>
          <t>Semana del período</t>
        </is>
      </c>
      <c r="H6" s="15" t="inlineStr">
        <is>
          <t>¿En el período?</t>
        </is>
      </c>
    </row>
    <row r="7">
      <c r="B7" s="5" t="n">
        <v>46266</v>
      </c>
      <c r="C7" s="24" t="inlineStr">
        <is>
          <t>Café con leche y tostada</t>
        </is>
      </c>
      <c r="D7" s="24" t="inlineStr">
        <is>
          <t>Cafés y desayunos</t>
        </is>
      </c>
      <c r="E7" s="25" t="n">
        <v>3.2</v>
      </c>
      <c r="F7" s="26">
        <f>IF(B7="","",MID("LunMarMiéJueVieSábDom",(WEEKDAY(B7,2)-1)*3+1,3))</f>
        <v/>
      </c>
      <c r="G7" s="8">
        <f>IF(OR(B7="",B7&lt;Panel!$D$5,B7&gt;Panel!$D$6),"",INT((B7-Panel!$D$5)/7)+1)</f>
        <v/>
      </c>
      <c r="H7" s="26">
        <f>IF(B7="","",IF(AND(B7&gt;=Panel!$D$5,B7&lt;=Panel!$D$6),"Sí","No"))</f>
        <v/>
      </c>
    </row>
    <row r="8">
      <c r="B8" s="5" t="n">
        <v>46266</v>
      </c>
      <c r="C8" s="24" t="inlineStr">
        <is>
          <t>Galletas de la máquina</t>
        </is>
      </c>
      <c r="D8" s="24" t="inlineStr">
        <is>
          <t>Snacks y vending</t>
        </is>
      </c>
      <c r="E8" s="25" t="n">
        <v>1.5</v>
      </c>
      <c r="F8" s="26">
        <f>IF(B8="","",MID("LunMarMiéJueVieSábDom",(WEEKDAY(B8,2)-1)*3+1,3))</f>
        <v/>
      </c>
      <c r="G8" s="8">
        <f>IF(OR(B8="",B8&lt;Panel!$D$5,B8&gt;Panel!$D$6),"",INT((B8-Panel!$D$5)/7)+1)</f>
        <v/>
      </c>
      <c r="H8" s="26">
        <f>IF(B8="","",IF(AND(B8&gt;=Panel!$D$5,B8&lt;=Panel!$D$6),"Sí","No"))</f>
        <v/>
      </c>
    </row>
    <row r="9">
      <c r="B9" s="5" t="n">
        <v>46267</v>
      </c>
      <c r="C9" s="24" t="inlineStr">
        <is>
          <t>Refresco en la oficina</t>
        </is>
      </c>
      <c r="D9" s="24" t="inlineStr">
        <is>
          <t>Bebidas</t>
        </is>
      </c>
      <c r="E9" s="25" t="n">
        <v>1.8</v>
      </c>
      <c r="F9" s="26">
        <f>IF(B9="","",MID("LunMarMiéJueVieSábDom",(WEEKDAY(B9,2)-1)*3+1,3))</f>
        <v/>
      </c>
      <c r="G9" s="8">
        <f>IF(OR(B9="",B9&lt;Panel!$D$5,B9&gt;Panel!$D$6),"",INT((B9-Panel!$D$5)/7)+1)</f>
        <v/>
      </c>
      <c r="H9" s="26">
        <f>IF(B9="","",IF(AND(B9&gt;=Panel!$D$5,B9&lt;=Panel!$D$6),"Sí","No"))</f>
        <v/>
      </c>
    </row>
    <row r="10">
      <c r="B10" s="5" t="n">
        <v>46268</v>
      </c>
      <c r="C10" s="24" t="inlineStr">
        <is>
          <t>Café para llevar</t>
        </is>
      </c>
      <c r="D10" s="24" t="inlineStr">
        <is>
          <t>Cafés y desayunos</t>
        </is>
      </c>
      <c r="E10" s="25" t="n">
        <v>1.6</v>
      </c>
      <c r="F10" s="26">
        <f>IF(B10="","",MID("LunMarMiéJueVieSábDom",(WEEKDAY(B10,2)-1)*3+1,3))</f>
        <v/>
      </c>
      <c r="G10" s="8">
        <f>IF(OR(B10="",B10&lt;Panel!$D$5,B10&gt;Panel!$D$6),"",INT((B10-Panel!$D$5)/7)+1)</f>
        <v/>
      </c>
      <c r="H10" s="26">
        <f>IF(B10="","",IF(AND(B10&gt;=Panel!$D$5,B10&lt;=Panel!$D$6),"Sí","No"))</f>
        <v/>
      </c>
    </row>
    <row r="11">
      <c r="B11" s="5" t="n">
        <v>46268</v>
      </c>
      <c r="C11" s="24" t="inlineStr">
        <is>
          <t>Bollería de la panadería</t>
        </is>
      </c>
      <c r="D11" s="24" t="inlineStr">
        <is>
          <t>Snacks y vending</t>
        </is>
      </c>
      <c r="E11" s="25" t="n">
        <v>2.1</v>
      </c>
      <c r="F11" s="26">
        <f>IF(B11="","",MID("LunMarMiéJueVieSábDom",(WEEKDAY(B11,2)-1)*3+1,3))</f>
        <v/>
      </c>
      <c r="G11" s="8">
        <f>IF(OR(B11="",B11&lt;Panel!$D$5,B11&gt;Panel!$D$6),"",INT((B11-Panel!$D$5)/7)+1)</f>
        <v/>
      </c>
      <c r="H11" s="26">
        <f>IF(B11="","",IF(AND(B11&gt;=Panel!$D$5,B11&lt;=Panel!$D$6),"Sí","No"))</f>
        <v/>
      </c>
    </row>
    <row r="12">
      <c r="B12" s="5" t="n">
        <v>46269</v>
      </c>
      <c r="C12" s="24" t="inlineStr">
        <is>
          <t>Patinete compartido</t>
        </is>
      </c>
      <c r="D12" s="24" t="inlineStr">
        <is>
          <t>Transporte suelto</t>
        </is>
      </c>
      <c r="E12" s="25" t="n">
        <v>3.8</v>
      </c>
      <c r="F12" s="26">
        <f>IF(B12="","",MID("LunMarMiéJueVieSábDom",(WEEKDAY(B12,2)-1)*3+1,3))</f>
        <v/>
      </c>
      <c r="G12" s="8">
        <f>IF(OR(B12="",B12&lt;Panel!$D$5,B12&gt;Panel!$D$6),"",INT((B12-Panel!$D$5)/7)+1)</f>
        <v/>
      </c>
      <c r="H12" s="26">
        <f>IF(B12="","",IF(AND(B12&gt;=Panel!$D$5,B12&lt;=Panel!$D$6),"Sí","No"))</f>
        <v/>
      </c>
    </row>
    <row r="13">
      <c r="B13" s="5" t="n">
        <v>46270</v>
      </c>
      <c r="C13" s="24" t="inlineStr">
        <is>
          <t>Hamburguesa para llevar</t>
        </is>
      </c>
      <c r="D13" s="24" t="inlineStr">
        <is>
          <t>Comida para llevar</t>
        </is>
      </c>
      <c r="E13" s="25" t="n">
        <v>8.9</v>
      </c>
      <c r="F13" s="26">
        <f>IF(B13="","",MID("LunMarMiéJueVieSábDom",(WEEKDAY(B13,2)-1)*3+1,3))</f>
        <v/>
      </c>
      <c r="G13" s="8">
        <f>IF(OR(B13="",B13&lt;Panel!$D$5,B13&gt;Panel!$D$6),"",INT((B13-Panel!$D$5)/7)+1)</f>
        <v/>
      </c>
      <c r="H13" s="26">
        <f>IF(B13="","",IF(AND(B13&gt;=Panel!$D$5,B13&lt;=Panel!$D$6),"Sí","No"))</f>
        <v/>
      </c>
    </row>
    <row r="14">
      <c r="B14" s="5" t="n">
        <v>46272</v>
      </c>
      <c r="C14" s="24" t="inlineStr">
        <is>
          <t>Café con leche y tostada</t>
        </is>
      </c>
      <c r="D14" s="24" t="inlineStr">
        <is>
          <t>Cafés y desayunos</t>
        </is>
      </c>
      <c r="E14" s="25" t="n">
        <v>3.2</v>
      </c>
      <c r="F14" s="26">
        <f>IF(B14="","",MID("LunMarMiéJueVieSábDom",(WEEKDAY(B14,2)-1)*3+1,3))</f>
        <v/>
      </c>
      <c r="G14" s="8">
        <f>IF(OR(B14="",B14&lt;Panel!$D$5,B14&gt;Panel!$D$6),"",INT((B14-Panel!$D$5)/7)+1)</f>
        <v/>
      </c>
      <c r="H14" s="26">
        <f>IF(B14="","",IF(AND(B14&gt;=Panel!$D$5,B14&lt;=Panel!$D$6),"Sí","No"))</f>
        <v/>
      </c>
    </row>
    <row r="15">
      <c r="B15" s="5" t="n">
        <v>46273</v>
      </c>
      <c r="C15" s="24" t="inlineStr">
        <is>
          <t>Botella de agua en el kiosco</t>
        </is>
      </c>
      <c r="D15" s="24" t="inlineStr">
        <is>
          <t>Bebidas</t>
        </is>
      </c>
      <c r="E15" s="25" t="n">
        <v>1.5</v>
      </c>
      <c r="F15" s="26">
        <f>IF(B15="","",MID("LunMarMiéJueVieSábDom",(WEEKDAY(B15,2)-1)*3+1,3))</f>
        <v/>
      </c>
      <c r="G15" s="8">
        <f>IF(OR(B15="",B15&lt;Panel!$D$5,B15&gt;Panel!$D$6),"",INT((B15-Panel!$D$5)/7)+1)</f>
        <v/>
      </c>
      <c r="H15" s="26">
        <f>IF(B15="","",IF(AND(B15&gt;=Panel!$D$5,B15&lt;=Panel!$D$6),"Sí","No"))</f>
        <v/>
      </c>
    </row>
    <row r="16">
      <c r="B16" s="5" t="n">
        <v>46274</v>
      </c>
      <c r="C16" s="24" t="inlineStr">
        <is>
          <t>Compra in-app juego móvil</t>
        </is>
      </c>
      <c r="D16" s="24" t="inlineStr">
        <is>
          <t>Apps y compras in-app</t>
        </is>
      </c>
      <c r="E16" s="25" t="n">
        <v>4.99</v>
      </c>
      <c r="F16" s="26">
        <f>IF(B16="","",MID("LunMarMiéJueVieSábDom",(WEEKDAY(B16,2)-1)*3+1,3))</f>
        <v/>
      </c>
      <c r="G16" s="8">
        <f>IF(OR(B16="",B16&lt;Panel!$D$5,B16&gt;Panel!$D$6),"",INT((B16-Panel!$D$5)/7)+1)</f>
        <v/>
      </c>
      <c r="H16" s="26">
        <f>IF(B16="","",IF(AND(B16&gt;=Panel!$D$5,B16&lt;=Panel!$D$6),"Sí","No"))</f>
        <v/>
      </c>
    </row>
    <row r="17">
      <c r="B17" s="5" t="n">
        <v>46275</v>
      </c>
      <c r="C17" s="24" t="inlineStr">
        <is>
          <t>Café para llevar</t>
        </is>
      </c>
      <c r="D17" s="24" t="inlineStr">
        <is>
          <t>Cafés y desayunos</t>
        </is>
      </c>
      <c r="E17" s="25" t="n">
        <v>1.6</v>
      </c>
      <c r="F17" s="26">
        <f>IF(B17="","",MID("LunMarMiéJueVieSábDom",(WEEKDAY(B17,2)-1)*3+1,3))</f>
        <v/>
      </c>
      <c r="G17" s="8">
        <f>IF(OR(B17="",B17&lt;Panel!$D$5,B17&gt;Panel!$D$6),"",INT((B17-Panel!$D$5)/7)+1)</f>
        <v/>
      </c>
      <c r="H17" s="26">
        <f>IF(B17="","",IF(AND(B17&gt;=Panel!$D$5,B17&lt;=Panel!$D$6),"Sí","No"))</f>
        <v/>
      </c>
    </row>
    <row r="18">
      <c r="B18" s="5" t="n">
        <v>46275</v>
      </c>
      <c r="C18" s="24" t="inlineStr">
        <is>
          <t>Barrita de chocolate</t>
        </is>
      </c>
      <c r="D18" s="24" t="inlineStr">
        <is>
          <t>Snacks y vending</t>
        </is>
      </c>
      <c r="E18" s="25" t="n">
        <v>1.2</v>
      </c>
      <c r="F18" s="26">
        <f>IF(B18="","",MID("LunMarMiéJueVieSábDom",(WEEKDAY(B18,2)-1)*3+1,3))</f>
        <v/>
      </c>
      <c r="G18" s="8">
        <f>IF(OR(B18="",B18&lt;Panel!$D$5,B18&gt;Panel!$D$6),"",INT((B18-Panel!$D$5)/7)+1)</f>
        <v/>
      </c>
      <c r="H18" s="26">
        <f>IF(B18="","",IF(AND(B18&gt;=Panel!$D$5,B18&lt;=Panel!$D$6),"Sí","No"))</f>
        <v/>
      </c>
    </row>
    <row r="19">
      <c r="B19" s="5" t="n">
        <v>46276</v>
      </c>
      <c r="C19" s="24" t="inlineStr">
        <is>
          <t>Pizza a domicilio (gastos de envío)</t>
        </is>
      </c>
      <c r="D19" s="24" t="inlineStr">
        <is>
          <t>Comida para llevar</t>
        </is>
      </c>
      <c r="E19" s="25" t="n">
        <v>2.5</v>
      </c>
      <c r="F19" s="26">
        <f>IF(B19="","",MID("LunMarMiéJueVieSábDom",(WEEKDAY(B19,2)-1)*3+1,3))</f>
        <v/>
      </c>
      <c r="G19" s="8">
        <f>IF(OR(B19="",B19&lt;Panel!$D$5,B19&gt;Panel!$D$6),"",INT((B19-Panel!$D$5)/7)+1)</f>
        <v/>
      </c>
      <c r="H19" s="26">
        <f>IF(B19="","",IF(AND(B19&gt;=Panel!$D$5,B19&lt;=Panel!$D$6),"Sí","No"))</f>
        <v/>
      </c>
    </row>
    <row r="20">
      <c r="B20" s="5" t="n">
        <v>46277</v>
      </c>
      <c r="C20" s="24" t="inlineStr">
        <is>
          <t>Accesorio móvil oferta relámpago</t>
        </is>
      </c>
      <c r="D20" s="24" t="inlineStr">
        <is>
          <t>Compras impulso</t>
        </is>
      </c>
      <c r="E20" s="25" t="n">
        <v>9.99</v>
      </c>
      <c r="F20" s="26">
        <f>IF(B20="","",MID("LunMarMiéJueVieSábDom",(WEEKDAY(B20,2)-1)*3+1,3))</f>
        <v/>
      </c>
      <c r="G20" s="8">
        <f>IF(OR(B20="",B20&lt;Panel!$D$5,B20&gt;Panel!$D$6),"",INT((B20-Panel!$D$5)/7)+1)</f>
        <v/>
      </c>
      <c r="H20" s="26">
        <f>IF(B20="","",IF(AND(B20&gt;=Panel!$D$5,B20&lt;=Panel!$D$6),"Sí","No"))</f>
        <v/>
      </c>
    </row>
    <row r="21">
      <c r="B21" s="5" t="n">
        <v>46279</v>
      </c>
      <c r="C21" s="24" t="inlineStr">
        <is>
          <t>Café con leche y tostada</t>
        </is>
      </c>
      <c r="D21" s="24" t="inlineStr">
        <is>
          <t>Cafés y desayunos</t>
        </is>
      </c>
      <c r="E21" s="25" t="n">
        <v>3.2</v>
      </c>
      <c r="F21" s="26">
        <f>IF(B21="","",MID("LunMarMiéJueVieSábDom",(WEEKDAY(B21,2)-1)*3+1,3))</f>
        <v/>
      </c>
      <c r="G21" s="8">
        <f>IF(OR(B21="",B21&lt;Panel!$D$5,B21&gt;Panel!$D$6),"",INT((B21-Panel!$D$5)/7)+1)</f>
        <v/>
      </c>
      <c r="H21" s="26">
        <f>IF(B21="","",IF(AND(B21&gt;=Panel!$D$5,B21&lt;=Panel!$D$6),"Sí","No"))</f>
        <v/>
      </c>
    </row>
    <row r="22">
      <c r="B22" s="5" t="n">
        <v>46280</v>
      </c>
      <c r="C22" s="24" t="inlineStr">
        <is>
          <t>Refresco con la comida</t>
        </is>
      </c>
      <c r="D22" s="24" t="inlineStr">
        <is>
          <t>Bebidas</t>
        </is>
      </c>
      <c r="E22" s="25" t="n">
        <v>1.8</v>
      </c>
      <c r="F22" s="26">
        <f>IF(B22="","",MID("LunMarMiéJueVieSábDom",(WEEKDAY(B22,2)-1)*3+1,3))</f>
        <v/>
      </c>
      <c r="G22" s="8">
        <f>IF(OR(B22="",B22&lt;Panel!$D$5,B22&gt;Panel!$D$6),"",INT((B22-Panel!$D$5)/7)+1)</f>
        <v/>
      </c>
      <c r="H22" s="26">
        <f>IF(B22="","",IF(AND(B22&gt;=Panel!$D$5,B22&lt;=Panel!$D$6),"Sí","No"))</f>
        <v/>
      </c>
    </row>
    <row r="23">
      <c r="B23" s="5" t="n">
        <v>46280</v>
      </c>
      <c r="C23" s="24" t="inlineStr">
        <is>
          <t>Bolsa de patatas</t>
        </is>
      </c>
      <c r="D23" s="24" t="inlineStr">
        <is>
          <t>Snacks y vending</t>
        </is>
      </c>
      <c r="E23" s="25" t="n">
        <v>1.4</v>
      </c>
      <c r="F23" s="26">
        <f>IF(B23="","",MID("LunMarMiéJueVieSábDom",(WEEKDAY(B23,2)-1)*3+1,3))</f>
        <v/>
      </c>
      <c r="G23" s="8">
        <f>IF(OR(B23="",B23&lt;Panel!$D$5,B23&gt;Panel!$D$6),"",INT((B23-Panel!$D$5)/7)+1)</f>
        <v/>
      </c>
      <c r="H23" s="26">
        <f>IF(B23="","",IF(AND(B23&gt;=Panel!$D$5,B23&lt;=Panel!$D$6),"Sí","No"))</f>
        <v/>
      </c>
    </row>
    <row r="24">
      <c r="B24" s="5" t="n">
        <v>46281</v>
      </c>
      <c r="C24" s="24" t="inlineStr">
        <is>
          <t>Aplicación de edición de fotos</t>
        </is>
      </c>
      <c r="D24" s="24" t="inlineStr">
        <is>
          <t>Apps y compras in-app</t>
        </is>
      </c>
      <c r="E24" s="25" t="n">
        <v>2.99</v>
      </c>
      <c r="F24" s="26">
        <f>IF(B24="","",MID("LunMarMiéJueVieSábDom",(WEEKDAY(B24,2)-1)*3+1,3))</f>
        <v/>
      </c>
      <c r="G24" s="8">
        <f>IF(OR(B24="",B24&lt;Panel!$D$5,B24&gt;Panel!$D$6),"",INT((B24-Panel!$D$5)/7)+1)</f>
        <v/>
      </c>
      <c r="H24" s="26">
        <f>IF(B24="","",IF(AND(B24&gt;=Panel!$D$5,B24&lt;=Panel!$D$6),"Sí","No"))</f>
        <v/>
      </c>
    </row>
    <row r="25">
      <c r="B25" s="5" t="n">
        <v>46282</v>
      </c>
      <c r="C25" s="24" t="inlineStr">
        <is>
          <t>Café para llevar</t>
        </is>
      </c>
      <c r="D25" s="24" t="inlineStr">
        <is>
          <t>Cafés y desayunos</t>
        </is>
      </c>
      <c r="E25" s="25" t="n">
        <v>1.6</v>
      </c>
      <c r="F25" s="26">
        <f>IF(B25="","",MID("LunMarMiéJueVieSábDom",(WEEKDAY(B25,2)-1)*3+1,3))</f>
        <v/>
      </c>
      <c r="G25" s="8">
        <f>IF(OR(B25="",B25&lt;Panel!$D$5,B25&gt;Panel!$D$6),"",INT((B25-Panel!$D$5)/7)+1)</f>
        <v/>
      </c>
      <c r="H25" s="26">
        <f>IF(B25="","",IF(AND(B25&gt;=Panel!$D$5,B25&lt;=Panel!$D$6),"Sí","No"))</f>
        <v/>
      </c>
    </row>
    <row r="26">
      <c r="B26" s="5" t="n">
        <v>46283</v>
      </c>
      <c r="C26" s="24" t="inlineStr">
        <is>
          <t>Bocadillo para llevar</t>
        </is>
      </c>
      <c r="D26" s="24" t="inlineStr">
        <is>
          <t>Comida para llevar</t>
        </is>
      </c>
      <c r="E26" s="25" t="n">
        <v>5.5</v>
      </c>
      <c r="F26" s="26">
        <f>IF(B26="","",MID("LunMarMiéJueVieSábDom",(WEEKDAY(B26,2)-1)*3+1,3))</f>
        <v/>
      </c>
      <c r="G26" s="8">
        <f>IF(OR(B26="",B26&lt;Panel!$D$5,B26&gt;Panel!$D$6),"",INT((B26-Panel!$D$5)/7)+1)</f>
        <v/>
      </c>
      <c r="H26" s="26">
        <f>IF(B26="","",IF(AND(B26&gt;=Panel!$D$5,B26&lt;=Panel!$D$6),"Sí","No"))</f>
        <v/>
      </c>
    </row>
    <row r="27">
      <c r="B27" s="5" t="n">
        <v>46284</v>
      </c>
      <c r="C27" s="24" t="inlineStr">
        <is>
          <t>Taxi corto bajo la lluvia</t>
        </is>
      </c>
      <c r="D27" s="24" t="inlineStr">
        <is>
          <t>Transporte suelto</t>
        </is>
      </c>
      <c r="E27" s="25" t="n">
        <v>6.4</v>
      </c>
      <c r="F27" s="26">
        <f>IF(B27="","",MID("LunMarMiéJueVieSábDom",(WEEKDAY(B27,2)-1)*3+1,3))</f>
        <v/>
      </c>
      <c r="G27" s="8">
        <f>IF(OR(B27="",B27&lt;Panel!$D$5,B27&gt;Panel!$D$6),"",INT((B27-Panel!$D$5)/7)+1)</f>
        <v/>
      </c>
      <c r="H27" s="26">
        <f>IF(B27="","",IF(AND(B27&gt;=Panel!$D$5,B27&lt;=Panel!$D$6),"Sí","No"))</f>
        <v/>
      </c>
    </row>
    <row r="28">
      <c r="B28" s="5" t="n">
        <v>46286</v>
      </c>
      <c r="C28" s="24" t="inlineStr">
        <is>
          <t>Café con leche y tostada</t>
        </is>
      </c>
      <c r="D28" s="24" t="inlineStr">
        <is>
          <t>Cafés y desayunos</t>
        </is>
      </c>
      <c r="E28" s="25" t="n">
        <v>3.2</v>
      </c>
      <c r="F28" s="26">
        <f>IF(B28="","",MID("LunMarMiéJueVieSábDom",(WEEKDAY(B28,2)-1)*3+1,3))</f>
        <v/>
      </c>
      <c r="G28" s="8">
        <f>IF(OR(B28="",B28&lt;Panel!$D$5,B28&gt;Panel!$D$6),"",INT((B28-Panel!$D$5)/7)+1)</f>
        <v/>
      </c>
      <c r="H28" s="26">
        <f>IF(B28="","",IF(AND(B28&gt;=Panel!$D$5,B28&lt;=Panel!$D$6),"Sí","No"))</f>
        <v/>
      </c>
    </row>
    <row r="29">
      <c r="B29" s="5" t="n">
        <v>46286</v>
      </c>
      <c r="C29" s="24" t="inlineStr">
        <is>
          <t>Zumo envasado</t>
        </is>
      </c>
      <c r="D29" s="24" t="inlineStr">
        <is>
          <t>Bebidas</t>
        </is>
      </c>
      <c r="E29" s="25" t="n">
        <v>2.2</v>
      </c>
      <c r="F29" s="26">
        <f>IF(B29="","",MID("LunMarMiéJueVieSábDom",(WEEKDAY(B29,2)-1)*3+1,3))</f>
        <v/>
      </c>
      <c r="G29" s="8">
        <f>IF(OR(B29="",B29&lt;Panel!$D$5,B29&gt;Panel!$D$6),"",INT((B29-Panel!$D$5)/7)+1)</f>
        <v/>
      </c>
      <c r="H29" s="26">
        <f>IF(B29="","",IF(AND(B29&gt;=Panel!$D$5,B29&lt;=Panel!$D$6),"Sí","No"))</f>
        <v/>
      </c>
    </row>
    <row r="30">
      <c r="B30" s="5" t="n">
        <v>46287</v>
      </c>
      <c r="C30" s="24" t="inlineStr">
        <is>
          <t>Cargador barato en tienda online</t>
        </is>
      </c>
      <c r="D30" s="24" t="inlineStr">
        <is>
          <t>Compras impulso</t>
        </is>
      </c>
      <c r="E30" s="25" t="n">
        <v>7.95</v>
      </c>
      <c r="F30" s="26">
        <f>IF(B30="","",MID("LunMarMiéJueVieSábDom",(WEEKDAY(B30,2)-1)*3+1,3))</f>
        <v/>
      </c>
      <c r="G30" s="8">
        <f>IF(OR(B30="",B30&lt;Panel!$D$5,B30&gt;Panel!$D$6),"",INT((B30-Panel!$D$5)/7)+1)</f>
        <v/>
      </c>
      <c r="H30" s="26">
        <f>IF(B30="","",IF(AND(B30&gt;=Panel!$D$5,B30&lt;=Panel!$D$6),"Sí","No"))</f>
        <v/>
      </c>
    </row>
    <row r="31">
      <c r="B31" s="5" t="n">
        <v>46288</v>
      </c>
      <c r="C31" s="24" t="inlineStr">
        <is>
          <t>Chuches del súper</t>
        </is>
      </c>
      <c r="D31" s="24" t="inlineStr">
        <is>
          <t>Snacks y vending</t>
        </is>
      </c>
      <c r="E31" s="25" t="n">
        <v>1.9</v>
      </c>
      <c r="F31" s="26">
        <f>IF(B31="","",MID("LunMarMiéJueVieSábDom",(WEEKDAY(B31,2)-1)*3+1,3))</f>
        <v/>
      </c>
      <c r="G31" s="8">
        <f>IF(OR(B31="",B31&lt;Panel!$D$5,B31&gt;Panel!$D$6),"",INT((B31-Panel!$D$5)/7)+1)</f>
        <v/>
      </c>
      <c r="H31" s="26">
        <f>IF(B31="","",IF(AND(B31&gt;=Panel!$D$5,B31&lt;=Panel!$D$6),"Sí","No"))</f>
        <v/>
      </c>
    </row>
    <row r="32">
      <c r="B32" s="5" t="n">
        <v>46289</v>
      </c>
      <c r="C32" s="24" t="inlineStr">
        <is>
          <t>Café para llevar</t>
        </is>
      </c>
      <c r="D32" s="24" t="inlineStr">
        <is>
          <t>Cafés y desayunos</t>
        </is>
      </c>
      <c r="E32" s="25" t="n">
        <v>1.6</v>
      </c>
      <c r="F32" s="26">
        <f>IF(B32="","",MID("LunMarMiéJueVieSábDom",(WEEKDAY(B32,2)-1)*3+1,3))</f>
        <v/>
      </c>
      <c r="G32" s="8">
        <f>IF(OR(B32="",B32&lt;Panel!$D$5,B32&gt;Panel!$D$6),"",INT((B32-Panel!$D$5)/7)+1)</f>
        <v/>
      </c>
      <c r="H32" s="26">
        <f>IF(B32="","",IF(AND(B32&gt;=Panel!$D$5,B32&lt;=Panel!$D$6),"Sí","No"))</f>
        <v/>
      </c>
    </row>
    <row r="33">
      <c r="B33" s="5" t="n">
        <v>46290</v>
      </c>
      <c r="C33" s="24" t="inlineStr">
        <is>
          <t>Kebab de la noche</t>
        </is>
      </c>
      <c r="D33" s="24" t="inlineStr">
        <is>
          <t>Comida para llevar</t>
        </is>
      </c>
      <c r="E33" s="25" t="n">
        <v>6.5</v>
      </c>
      <c r="F33" s="26">
        <f>IF(B33="","",MID("LunMarMiéJueVieSábDom",(WEEKDAY(B33,2)-1)*3+1,3))</f>
        <v/>
      </c>
      <c r="G33" s="8">
        <f>IF(OR(B33="",B33&lt;Panel!$D$5,B33&gt;Panel!$D$6),"",INT((B33-Panel!$D$5)/7)+1)</f>
        <v/>
      </c>
      <c r="H33" s="26">
        <f>IF(B33="","",IF(AND(B33&gt;=Panel!$D$5,B33&lt;=Panel!$D$6),"Sí","No"))</f>
        <v/>
      </c>
    </row>
    <row r="34">
      <c r="B34" s="5" t="n">
        <v>46291</v>
      </c>
      <c r="C34" s="24" t="inlineStr">
        <is>
          <t>Fotocopias y regalo de última hora</t>
        </is>
      </c>
      <c r="D34" s="24" t="inlineStr">
        <is>
          <t>Otros</t>
        </is>
      </c>
      <c r="E34" s="25" t="n">
        <v>4.3</v>
      </c>
      <c r="F34" s="26">
        <f>IF(B34="","",MID("LunMarMiéJueVieSábDom",(WEEKDAY(B34,2)-1)*3+1,3))</f>
        <v/>
      </c>
      <c r="G34" s="8">
        <f>IF(OR(B34="",B34&lt;Panel!$D$5,B34&gt;Panel!$D$6),"",INT((B34-Panel!$D$5)/7)+1)</f>
        <v/>
      </c>
      <c r="H34" s="26">
        <f>IF(B34="","",IF(AND(B34&gt;=Panel!$D$5,B34&lt;=Panel!$D$6),"Sí","No"))</f>
        <v/>
      </c>
    </row>
    <row r="35">
      <c r="B35" s="5" t="n">
        <v>46293</v>
      </c>
      <c r="C35" s="24" t="inlineStr">
        <is>
          <t>Café con leche y tostada</t>
        </is>
      </c>
      <c r="D35" s="24" t="inlineStr">
        <is>
          <t>Cafés y desayunos</t>
        </is>
      </c>
      <c r="E35" s="25" t="n">
        <v>3.2</v>
      </c>
      <c r="F35" s="26">
        <f>IF(B35="","",MID("LunMarMiéJueVieSábDom",(WEEKDAY(B35,2)-1)*3+1,3))</f>
        <v/>
      </c>
      <c r="G35" s="8">
        <f>IF(OR(B35="",B35&lt;Panel!$D$5,B35&gt;Panel!$D$6),"",INT((B35-Panel!$D$5)/7)+1)</f>
        <v/>
      </c>
      <c r="H35" s="26">
        <f>IF(B35="","",IF(AND(B35&gt;=Panel!$D$5,B35&lt;=Panel!$D$6),"Sí","No"))</f>
        <v/>
      </c>
    </row>
    <row r="36">
      <c r="B36" s="5" t="n">
        <v>46294</v>
      </c>
      <c r="C36" s="24" t="inlineStr">
        <is>
          <t>Refresco y bolsa de frutos secos</t>
        </is>
      </c>
      <c r="D36" s="24" t="inlineStr">
        <is>
          <t>Bebidas</t>
        </is>
      </c>
      <c r="E36" s="25" t="n">
        <v>3.1</v>
      </c>
      <c r="F36" s="26">
        <f>IF(B36="","",MID("LunMarMiéJueVieSábDom",(WEEKDAY(B36,2)-1)*3+1,3))</f>
        <v/>
      </c>
      <c r="G36" s="8">
        <f>IF(OR(B36="",B36&lt;Panel!$D$5,B36&gt;Panel!$D$6),"",INT((B36-Panel!$D$5)/7)+1)</f>
        <v/>
      </c>
      <c r="H36" s="26">
        <f>IF(B36="","",IF(AND(B36&gt;=Panel!$D$5,B36&lt;=Panel!$D$6),"Sí","No"))</f>
        <v/>
      </c>
    </row>
    <row r="37">
      <c r="B37" s="5" t="n">
        <v>46295</v>
      </c>
      <c r="C37" s="24" t="inlineStr">
        <is>
          <t>Compra in-app: monedas del juego</t>
        </is>
      </c>
      <c r="D37" s="24" t="inlineStr">
        <is>
          <t>Apps y compras in-app</t>
        </is>
      </c>
      <c r="E37" s="25" t="n">
        <v>1.99</v>
      </c>
      <c r="F37" s="26">
        <f>IF(B37="","",MID("LunMarMiéJueVieSábDom",(WEEKDAY(B37,2)-1)*3+1,3))</f>
        <v/>
      </c>
      <c r="G37" s="8">
        <f>IF(OR(B37="",B37&lt;Panel!$D$5,B37&gt;Panel!$D$6),"",INT((B37-Panel!$D$5)/7)+1)</f>
        <v/>
      </c>
      <c r="H37" s="26">
        <f>IF(B37="","",IF(AND(B37&gt;=Panel!$D$5,B37&lt;=Panel!$D$6),"Sí","No"))</f>
        <v/>
      </c>
    </row>
    <row r="38">
      <c r="B38" s="5" t="n">
        <v>46295</v>
      </c>
      <c r="C38" s="24" t="inlineStr">
        <is>
          <t>Parking de zona azul</t>
        </is>
      </c>
      <c r="D38" s="24" t="inlineStr">
        <is>
          <t>Transporte suelto</t>
        </is>
      </c>
      <c r="E38" s="25" t="n">
        <v>2.4</v>
      </c>
      <c r="F38" s="26">
        <f>IF(B38="","",MID("LunMarMiéJueVieSábDom",(WEEKDAY(B38,2)-1)*3+1,3))</f>
        <v/>
      </c>
      <c r="G38" s="8">
        <f>IF(OR(B38="",B38&lt;Panel!$D$5,B38&gt;Panel!$D$6),"",INT((B38-Panel!$D$5)/7)+1)</f>
        <v/>
      </c>
      <c r="H38" s="26">
        <f>IF(B38="","",IF(AND(B38&gt;=Panel!$D$5,B38&lt;=Panel!$D$6),"Sí","No"))</f>
        <v/>
      </c>
    </row>
    <row r="39">
      <c r="B39" s="5" t="n"/>
      <c r="C39" s="24" t="n"/>
      <c r="D39" s="24" t="n"/>
      <c r="E39" s="25" t="n"/>
      <c r="F39" s="26">
        <f>IF(B39="","",MID("LunMarMiéJueVieSábDom",(WEEKDAY(B39,2)-1)*3+1,3))</f>
        <v/>
      </c>
      <c r="G39" s="8">
        <f>IF(OR(B39="",B39&lt;Panel!$D$5,B39&gt;Panel!$D$6),"",INT((B39-Panel!$D$5)/7)+1)</f>
        <v/>
      </c>
      <c r="H39" s="26">
        <f>IF(B39="","",IF(AND(B39&gt;=Panel!$D$5,B39&lt;=Panel!$D$6),"Sí","No"))</f>
        <v/>
      </c>
    </row>
    <row r="40">
      <c r="B40" s="5" t="n"/>
      <c r="C40" s="24" t="n"/>
      <c r="D40" s="24" t="n"/>
      <c r="E40" s="25" t="n"/>
      <c r="F40" s="26">
        <f>IF(B40="","",MID("LunMarMiéJueVieSábDom",(WEEKDAY(B40,2)-1)*3+1,3))</f>
        <v/>
      </c>
      <c r="G40" s="8">
        <f>IF(OR(B40="",B40&lt;Panel!$D$5,B40&gt;Panel!$D$6),"",INT((B40-Panel!$D$5)/7)+1)</f>
        <v/>
      </c>
      <c r="H40" s="26">
        <f>IF(B40="","",IF(AND(B40&gt;=Panel!$D$5,B40&lt;=Panel!$D$6),"Sí","No"))</f>
        <v/>
      </c>
    </row>
    <row r="41">
      <c r="B41" s="5" t="n"/>
      <c r="C41" s="24" t="n"/>
      <c r="D41" s="24" t="n"/>
      <c r="E41" s="25" t="n"/>
      <c r="F41" s="26">
        <f>IF(B41="","",MID("LunMarMiéJueVieSábDom",(WEEKDAY(B41,2)-1)*3+1,3))</f>
        <v/>
      </c>
      <c r="G41" s="8">
        <f>IF(OR(B41="",B41&lt;Panel!$D$5,B41&gt;Panel!$D$6),"",INT((B41-Panel!$D$5)/7)+1)</f>
        <v/>
      </c>
      <c r="H41" s="26">
        <f>IF(B41="","",IF(AND(B41&gt;=Panel!$D$5,B41&lt;=Panel!$D$6),"Sí","No"))</f>
        <v/>
      </c>
    </row>
    <row r="42">
      <c r="B42" s="5" t="n"/>
      <c r="C42" s="24" t="n"/>
      <c r="D42" s="24" t="n"/>
      <c r="E42" s="25" t="n"/>
      <c r="F42" s="26">
        <f>IF(B42="","",MID("LunMarMiéJueVieSábDom",(WEEKDAY(B42,2)-1)*3+1,3))</f>
        <v/>
      </c>
      <c r="G42" s="8">
        <f>IF(OR(B42="",B42&lt;Panel!$D$5,B42&gt;Panel!$D$6),"",INT((B42-Panel!$D$5)/7)+1)</f>
        <v/>
      </c>
      <c r="H42" s="26">
        <f>IF(B42="","",IF(AND(B42&gt;=Panel!$D$5,B42&lt;=Panel!$D$6),"Sí","No"))</f>
        <v/>
      </c>
    </row>
    <row r="43">
      <c r="B43" s="5" t="n"/>
      <c r="C43" s="24" t="n"/>
      <c r="D43" s="24" t="n"/>
      <c r="E43" s="25" t="n"/>
      <c r="F43" s="26">
        <f>IF(B43="","",MID("LunMarMiéJueVieSábDom",(WEEKDAY(B43,2)-1)*3+1,3))</f>
        <v/>
      </c>
      <c r="G43" s="8">
        <f>IF(OR(B43="",B43&lt;Panel!$D$5,B43&gt;Panel!$D$6),"",INT((B43-Panel!$D$5)/7)+1)</f>
        <v/>
      </c>
      <c r="H43" s="26">
        <f>IF(B43="","",IF(AND(B43&gt;=Panel!$D$5,B43&lt;=Panel!$D$6),"Sí","No"))</f>
        <v/>
      </c>
    </row>
    <row r="44">
      <c r="B44" s="5" t="n"/>
      <c r="C44" s="24" t="n"/>
      <c r="D44" s="24" t="n"/>
      <c r="E44" s="25" t="n"/>
      <c r="F44" s="26">
        <f>IF(B44="","",MID("LunMarMiéJueVieSábDom",(WEEKDAY(B44,2)-1)*3+1,3))</f>
        <v/>
      </c>
      <c r="G44" s="8">
        <f>IF(OR(B44="",B44&lt;Panel!$D$5,B44&gt;Panel!$D$6),"",INT((B44-Panel!$D$5)/7)+1)</f>
        <v/>
      </c>
      <c r="H44" s="26">
        <f>IF(B44="","",IF(AND(B44&gt;=Panel!$D$5,B44&lt;=Panel!$D$6),"Sí","No"))</f>
        <v/>
      </c>
    </row>
    <row r="45">
      <c r="B45" s="5" t="n"/>
      <c r="C45" s="24" t="n"/>
      <c r="D45" s="24" t="n"/>
      <c r="E45" s="25" t="n"/>
      <c r="F45" s="26">
        <f>IF(B45="","",MID("LunMarMiéJueVieSábDom",(WEEKDAY(B45,2)-1)*3+1,3))</f>
        <v/>
      </c>
      <c r="G45" s="8">
        <f>IF(OR(B45="",B45&lt;Panel!$D$5,B45&gt;Panel!$D$6),"",INT((B45-Panel!$D$5)/7)+1)</f>
        <v/>
      </c>
      <c r="H45" s="26">
        <f>IF(B45="","",IF(AND(B45&gt;=Panel!$D$5,B45&lt;=Panel!$D$6),"Sí","No"))</f>
        <v/>
      </c>
    </row>
    <row r="46">
      <c r="B46" s="5" t="n"/>
      <c r="C46" s="24" t="n"/>
      <c r="D46" s="24" t="n"/>
      <c r="E46" s="25" t="n"/>
      <c r="F46" s="26">
        <f>IF(B46="","",MID("LunMarMiéJueVieSábDom",(WEEKDAY(B46,2)-1)*3+1,3))</f>
        <v/>
      </c>
      <c r="G46" s="8">
        <f>IF(OR(B46="",B46&lt;Panel!$D$5,B46&gt;Panel!$D$6),"",INT((B46-Panel!$D$5)/7)+1)</f>
        <v/>
      </c>
      <c r="H46" s="26">
        <f>IF(B46="","",IF(AND(B46&gt;=Panel!$D$5,B46&lt;=Panel!$D$6),"Sí","No"))</f>
        <v/>
      </c>
    </row>
    <row r="47">
      <c r="B47" s="5" t="n"/>
      <c r="C47" s="24" t="n"/>
      <c r="D47" s="24" t="n"/>
      <c r="E47" s="25" t="n"/>
      <c r="F47" s="26">
        <f>IF(B47="","",MID("LunMarMiéJueVieSábDom",(WEEKDAY(B47,2)-1)*3+1,3))</f>
        <v/>
      </c>
      <c r="G47" s="8">
        <f>IF(OR(B47="",B47&lt;Panel!$D$5,B47&gt;Panel!$D$6),"",INT((B47-Panel!$D$5)/7)+1)</f>
        <v/>
      </c>
      <c r="H47" s="26">
        <f>IF(B47="","",IF(AND(B47&gt;=Panel!$D$5,B47&lt;=Panel!$D$6),"Sí","No"))</f>
        <v/>
      </c>
    </row>
    <row r="48">
      <c r="B48" s="5" t="n"/>
      <c r="C48" s="24" t="n"/>
      <c r="D48" s="24" t="n"/>
      <c r="E48" s="25" t="n"/>
      <c r="F48" s="26">
        <f>IF(B48="","",MID("LunMarMiéJueVieSábDom",(WEEKDAY(B48,2)-1)*3+1,3))</f>
        <v/>
      </c>
      <c r="G48" s="8">
        <f>IF(OR(B48="",B48&lt;Panel!$D$5,B48&gt;Panel!$D$6),"",INT((B48-Panel!$D$5)/7)+1)</f>
        <v/>
      </c>
      <c r="H48" s="26">
        <f>IF(B48="","",IF(AND(B48&gt;=Panel!$D$5,B48&lt;=Panel!$D$6),"Sí","No"))</f>
        <v/>
      </c>
    </row>
    <row r="49">
      <c r="B49" s="5" t="n"/>
      <c r="C49" s="24" t="n"/>
      <c r="D49" s="24" t="n"/>
      <c r="E49" s="25" t="n"/>
      <c r="F49" s="26">
        <f>IF(B49="","",MID("LunMarMiéJueVieSábDom",(WEEKDAY(B49,2)-1)*3+1,3))</f>
        <v/>
      </c>
      <c r="G49" s="8">
        <f>IF(OR(B49="",B49&lt;Panel!$D$5,B49&gt;Panel!$D$6),"",INT((B49-Panel!$D$5)/7)+1)</f>
        <v/>
      </c>
      <c r="H49" s="26">
        <f>IF(B49="","",IF(AND(B49&gt;=Panel!$D$5,B49&lt;=Panel!$D$6),"Sí","No"))</f>
        <v/>
      </c>
    </row>
    <row r="50">
      <c r="B50" s="5" t="n"/>
      <c r="C50" s="24" t="n"/>
      <c r="D50" s="24" t="n"/>
      <c r="E50" s="25" t="n"/>
      <c r="F50" s="26">
        <f>IF(B50="","",MID("LunMarMiéJueVieSábDom",(WEEKDAY(B50,2)-1)*3+1,3))</f>
        <v/>
      </c>
      <c r="G50" s="8">
        <f>IF(OR(B50="",B50&lt;Panel!$D$5,B50&gt;Panel!$D$6),"",INT((B50-Panel!$D$5)/7)+1)</f>
        <v/>
      </c>
      <c r="H50" s="26">
        <f>IF(B50="","",IF(AND(B50&gt;=Panel!$D$5,B50&lt;=Panel!$D$6),"Sí","No"))</f>
        <v/>
      </c>
    </row>
    <row r="51">
      <c r="B51" s="5" t="n"/>
      <c r="C51" s="24" t="n"/>
      <c r="D51" s="24" t="n"/>
      <c r="E51" s="25" t="n"/>
      <c r="F51" s="26">
        <f>IF(B51="","",MID("LunMarMiéJueVieSábDom",(WEEKDAY(B51,2)-1)*3+1,3))</f>
        <v/>
      </c>
      <c r="G51" s="8">
        <f>IF(OR(B51="",B51&lt;Panel!$D$5,B51&gt;Panel!$D$6),"",INT((B51-Panel!$D$5)/7)+1)</f>
        <v/>
      </c>
      <c r="H51" s="26">
        <f>IF(B51="","",IF(AND(B51&gt;=Panel!$D$5,B51&lt;=Panel!$D$6),"Sí","No"))</f>
        <v/>
      </c>
    </row>
    <row r="52">
      <c r="B52" s="5" t="n"/>
      <c r="C52" s="24" t="n"/>
      <c r="D52" s="24" t="n"/>
      <c r="E52" s="25" t="n"/>
      <c r="F52" s="26">
        <f>IF(B52="","",MID("LunMarMiéJueVieSábDom",(WEEKDAY(B52,2)-1)*3+1,3))</f>
        <v/>
      </c>
      <c r="G52" s="8">
        <f>IF(OR(B52="",B52&lt;Panel!$D$5,B52&gt;Panel!$D$6),"",INT((B52-Panel!$D$5)/7)+1)</f>
        <v/>
      </c>
      <c r="H52" s="26">
        <f>IF(B52="","",IF(AND(B52&gt;=Panel!$D$5,B52&lt;=Panel!$D$6),"Sí","No"))</f>
        <v/>
      </c>
    </row>
    <row r="53">
      <c r="B53" s="5" t="n"/>
      <c r="C53" s="24" t="n"/>
      <c r="D53" s="24" t="n"/>
      <c r="E53" s="25" t="n"/>
      <c r="F53" s="26">
        <f>IF(B53="","",MID("LunMarMiéJueVieSábDom",(WEEKDAY(B53,2)-1)*3+1,3))</f>
        <v/>
      </c>
      <c r="G53" s="8">
        <f>IF(OR(B53="",B53&lt;Panel!$D$5,B53&gt;Panel!$D$6),"",INT((B53-Panel!$D$5)/7)+1)</f>
        <v/>
      </c>
      <c r="H53" s="26">
        <f>IF(B53="","",IF(AND(B53&gt;=Panel!$D$5,B53&lt;=Panel!$D$6),"Sí","No"))</f>
        <v/>
      </c>
    </row>
    <row r="54">
      <c r="B54" s="5" t="n"/>
      <c r="C54" s="24" t="n"/>
      <c r="D54" s="24" t="n"/>
      <c r="E54" s="25" t="n"/>
      <c r="F54" s="26">
        <f>IF(B54="","",MID("LunMarMiéJueVieSábDom",(WEEKDAY(B54,2)-1)*3+1,3))</f>
        <v/>
      </c>
      <c r="G54" s="8">
        <f>IF(OR(B54="",B54&lt;Panel!$D$5,B54&gt;Panel!$D$6),"",INT((B54-Panel!$D$5)/7)+1)</f>
        <v/>
      </c>
      <c r="H54" s="26">
        <f>IF(B54="","",IF(AND(B54&gt;=Panel!$D$5,B54&lt;=Panel!$D$6),"Sí","No"))</f>
        <v/>
      </c>
    </row>
    <row r="55">
      <c r="B55" s="5" t="n"/>
      <c r="C55" s="24" t="n"/>
      <c r="D55" s="24" t="n"/>
      <c r="E55" s="25" t="n"/>
      <c r="F55" s="26">
        <f>IF(B55="","",MID("LunMarMiéJueVieSábDom",(WEEKDAY(B55,2)-1)*3+1,3))</f>
        <v/>
      </c>
      <c r="G55" s="8">
        <f>IF(OR(B55="",B55&lt;Panel!$D$5,B55&gt;Panel!$D$6),"",INT((B55-Panel!$D$5)/7)+1)</f>
        <v/>
      </c>
      <c r="H55" s="26">
        <f>IF(B55="","",IF(AND(B55&gt;=Panel!$D$5,B55&lt;=Panel!$D$6),"Sí","No"))</f>
        <v/>
      </c>
    </row>
    <row r="56">
      <c r="B56" s="5" t="n"/>
      <c r="C56" s="24" t="n"/>
      <c r="D56" s="24" t="n"/>
      <c r="E56" s="25" t="n"/>
      <c r="F56" s="26">
        <f>IF(B56="","",MID("LunMarMiéJueVieSábDom",(WEEKDAY(B56,2)-1)*3+1,3))</f>
        <v/>
      </c>
      <c r="G56" s="8">
        <f>IF(OR(B56="",B56&lt;Panel!$D$5,B56&gt;Panel!$D$6),"",INT((B56-Panel!$D$5)/7)+1)</f>
        <v/>
      </c>
      <c r="H56" s="26">
        <f>IF(B56="","",IF(AND(B56&gt;=Panel!$D$5,B56&lt;=Panel!$D$6),"Sí","No"))</f>
        <v/>
      </c>
    </row>
    <row r="57">
      <c r="B57" s="5" t="n"/>
      <c r="C57" s="24" t="n"/>
      <c r="D57" s="24" t="n"/>
      <c r="E57" s="25" t="n"/>
      <c r="F57" s="26">
        <f>IF(B57="","",MID("LunMarMiéJueVieSábDom",(WEEKDAY(B57,2)-1)*3+1,3))</f>
        <v/>
      </c>
      <c r="G57" s="8">
        <f>IF(OR(B57="",B57&lt;Panel!$D$5,B57&gt;Panel!$D$6),"",INT((B57-Panel!$D$5)/7)+1)</f>
        <v/>
      </c>
      <c r="H57" s="26">
        <f>IF(B57="","",IF(AND(B57&gt;=Panel!$D$5,B57&lt;=Panel!$D$6),"Sí","No"))</f>
        <v/>
      </c>
    </row>
    <row r="58">
      <c r="B58" s="5" t="n"/>
      <c r="C58" s="24" t="n"/>
      <c r="D58" s="24" t="n"/>
      <c r="E58" s="25" t="n"/>
      <c r="F58" s="26">
        <f>IF(B58="","",MID("LunMarMiéJueVieSábDom",(WEEKDAY(B58,2)-1)*3+1,3))</f>
        <v/>
      </c>
      <c r="G58" s="8">
        <f>IF(OR(B58="",B58&lt;Panel!$D$5,B58&gt;Panel!$D$6),"",INT((B58-Panel!$D$5)/7)+1)</f>
        <v/>
      </c>
      <c r="H58" s="26">
        <f>IF(B58="","",IF(AND(B58&gt;=Panel!$D$5,B58&lt;=Panel!$D$6),"Sí","No"))</f>
        <v/>
      </c>
    </row>
    <row r="59">
      <c r="B59" s="5" t="n"/>
      <c r="C59" s="24" t="n"/>
      <c r="D59" s="24" t="n"/>
      <c r="E59" s="25" t="n"/>
      <c r="F59" s="26">
        <f>IF(B59="","",MID("LunMarMiéJueVieSábDom",(WEEKDAY(B59,2)-1)*3+1,3))</f>
        <v/>
      </c>
      <c r="G59" s="8">
        <f>IF(OR(B59="",B59&lt;Panel!$D$5,B59&gt;Panel!$D$6),"",INT((B59-Panel!$D$5)/7)+1)</f>
        <v/>
      </c>
      <c r="H59" s="26">
        <f>IF(B59="","",IF(AND(B59&gt;=Panel!$D$5,B59&lt;=Panel!$D$6),"Sí","No"))</f>
        <v/>
      </c>
    </row>
    <row r="60">
      <c r="B60" s="5" t="n"/>
      <c r="C60" s="24" t="n"/>
      <c r="D60" s="24" t="n"/>
      <c r="E60" s="25" t="n"/>
      <c r="F60" s="26">
        <f>IF(B60="","",MID("LunMarMiéJueVieSábDom",(WEEKDAY(B60,2)-1)*3+1,3))</f>
        <v/>
      </c>
      <c r="G60" s="8">
        <f>IF(OR(B60="",B60&lt;Panel!$D$5,B60&gt;Panel!$D$6),"",INT((B60-Panel!$D$5)/7)+1)</f>
        <v/>
      </c>
      <c r="H60" s="26">
        <f>IF(B60="","",IF(AND(B60&gt;=Panel!$D$5,B60&lt;=Panel!$D$6),"Sí","No"))</f>
        <v/>
      </c>
    </row>
    <row r="61">
      <c r="B61" s="5" t="n"/>
      <c r="C61" s="24" t="n"/>
      <c r="D61" s="24" t="n"/>
      <c r="E61" s="25" t="n"/>
      <c r="F61" s="26">
        <f>IF(B61="","",MID("LunMarMiéJueVieSábDom",(WEEKDAY(B61,2)-1)*3+1,3))</f>
        <v/>
      </c>
      <c r="G61" s="8">
        <f>IF(OR(B61="",B61&lt;Panel!$D$5,B61&gt;Panel!$D$6),"",INT((B61-Panel!$D$5)/7)+1)</f>
        <v/>
      </c>
      <c r="H61" s="26">
        <f>IF(B61="","",IF(AND(B61&gt;=Panel!$D$5,B61&lt;=Panel!$D$6),"Sí","No"))</f>
        <v/>
      </c>
    </row>
    <row r="62">
      <c r="B62" s="5" t="n"/>
      <c r="C62" s="24" t="n"/>
      <c r="D62" s="24" t="n"/>
      <c r="E62" s="25" t="n"/>
      <c r="F62" s="26">
        <f>IF(B62="","",MID("LunMarMiéJueVieSábDom",(WEEKDAY(B62,2)-1)*3+1,3))</f>
        <v/>
      </c>
      <c r="G62" s="8">
        <f>IF(OR(B62="",B62&lt;Panel!$D$5,B62&gt;Panel!$D$6),"",INT((B62-Panel!$D$5)/7)+1)</f>
        <v/>
      </c>
      <c r="H62" s="26">
        <f>IF(B62="","",IF(AND(B62&gt;=Panel!$D$5,B62&lt;=Panel!$D$6),"Sí","No"))</f>
        <v/>
      </c>
    </row>
    <row r="63">
      <c r="B63" s="5" t="n"/>
      <c r="C63" s="24" t="n"/>
      <c r="D63" s="24" t="n"/>
      <c r="E63" s="25" t="n"/>
      <c r="F63" s="26">
        <f>IF(B63="","",MID("LunMarMiéJueVieSábDom",(WEEKDAY(B63,2)-1)*3+1,3))</f>
        <v/>
      </c>
      <c r="G63" s="8">
        <f>IF(OR(B63="",B63&lt;Panel!$D$5,B63&gt;Panel!$D$6),"",INT((B63-Panel!$D$5)/7)+1)</f>
        <v/>
      </c>
      <c r="H63" s="26">
        <f>IF(B63="","",IF(AND(B63&gt;=Panel!$D$5,B63&lt;=Panel!$D$6),"Sí","No"))</f>
        <v/>
      </c>
    </row>
    <row r="64">
      <c r="B64" s="5" t="n"/>
      <c r="C64" s="24" t="n"/>
      <c r="D64" s="24" t="n"/>
      <c r="E64" s="25" t="n"/>
      <c r="F64" s="26">
        <f>IF(B64="","",MID("LunMarMiéJueVieSábDom",(WEEKDAY(B64,2)-1)*3+1,3))</f>
        <v/>
      </c>
      <c r="G64" s="8">
        <f>IF(OR(B64="",B64&lt;Panel!$D$5,B64&gt;Panel!$D$6),"",INT((B64-Panel!$D$5)/7)+1)</f>
        <v/>
      </c>
      <c r="H64" s="26">
        <f>IF(B64="","",IF(AND(B64&gt;=Panel!$D$5,B64&lt;=Panel!$D$6),"Sí","No"))</f>
        <v/>
      </c>
    </row>
    <row r="65">
      <c r="B65" s="5" t="n"/>
      <c r="C65" s="24" t="n"/>
      <c r="D65" s="24" t="n"/>
      <c r="E65" s="25" t="n"/>
      <c r="F65" s="26">
        <f>IF(B65="","",MID("LunMarMiéJueVieSábDom",(WEEKDAY(B65,2)-1)*3+1,3))</f>
        <v/>
      </c>
      <c r="G65" s="8">
        <f>IF(OR(B65="",B65&lt;Panel!$D$5,B65&gt;Panel!$D$6),"",INT((B65-Panel!$D$5)/7)+1)</f>
        <v/>
      </c>
      <c r="H65" s="26">
        <f>IF(B65="","",IF(AND(B65&gt;=Panel!$D$5,B65&lt;=Panel!$D$6),"Sí","No"))</f>
        <v/>
      </c>
    </row>
    <row r="66">
      <c r="B66" s="5" t="n"/>
      <c r="C66" s="24" t="n"/>
      <c r="D66" s="24" t="n"/>
      <c r="E66" s="25" t="n"/>
      <c r="F66" s="26">
        <f>IF(B66="","",MID("LunMarMiéJueVieSábDom",(WEEKDAY(B66,2)-1)*3+1,3))</f>
        <v/>
      </c>
      <c r="G66" s="8">
        <f>IF(OR(B66="",B66&lt;Panel!$D$5,B66&gt;Panel!$D$6),"",INT((B66-Panel!$D$5)/7)+1)</f>
        <v/>
      </c>
      <c r="H66" s="26">
        <f>IF(B66="","",IF(AND(B66&gt;=Panel!$D$5,B66&lt;=Panel!$D$6),"Sí","No"))</f>
        <v/>
      </c>
    </row>
    <row r="68">
      <c r="B68" s="6" t="inlineStr">
        <is>
          <t>En ámbar: gastos que triplican o más la media de tus registros. «¿En el período?» indica si cuenta en el Panel (según las fechas D5 y D6 del Panel).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7:H66">
    <cfRule type="expression" priority="1" dxfId="2">
      <formula>MOD(ROW(),2)=0</formula>
    </cfRule>
  </conditionalFormatting>
  <conditionalFormatting sqref="H7:H66">
    <cfRule type="cellIs" priority="2" operator="equal" dxfId="3">
      <formula>"No"</formula>
    </cfRule>
  </conditionalFormatting>
  <conditionalFormatting sqref="E7:E66">
    <cfRule type="expression" priority="3" dxfId="4">
      <formula>AND(ISNUMBER(E7),E7&gt;=$E$4/MAX(COUNT($E$7:$E$66),1)*3)</formula>
    </cfRule>
  </conditionalFormatting>
  <dataValidations count="3">
    <dataValidation sqref="D7:D66" showDropDown="0" showInputMessage="0" showErrorMessage="0" allowBlank="1" type="list">
      <formula1>='Categorías'!$B$8:$B$17</formula1>
    </dataValidation>
    <dataValidation sqref="B7:B66" showDropDown="0" showInputMessage="0" showErrorMessage="0" allowBlank="1" errorTitle="Fecha no válida" error="Escribe una fecha válida, por ejemplo 15/09/2026." type="date" operator="between">
      <formula1>36526</formula1>
      <formula2>73415</formula2>
    </dataValidation>
    <dataValidation sqref="E7:E66" showDropDown="0" showInputMessage="0" showErrorMessage="0" allowBlank="1" errorTitle="Importe no válido" error="Escribe el importe en euros, sin el símbolo (por ejemplo 1,60)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J19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1" customWidth="1" min="3" max="3"/>
    <col width="14" customWidth="1" min="4" max="4"/>
    <col width="11" customWidth="1" min="5" max="5"/>
    <col width="13" customWidth="1" min="6" max="6"/>
    <col width="15" customWidth="1" min="7" max="7"/>
    <col width="13" customWidth="1" min="8" max="8"/>
    <col width="16" customWidth="1" min="9" max="9"/>
    <col width="10" customWidth="1" min="10" max="10"/>
  </cols>
  <sheetData>
    <row r="2" ht="34" customHeight="1">
      <c r="B2" s="1" t="inlineStr">
        <is>
          <t>Categorías y ahorro potencial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Define tus categorías (celdas crema) y el porcentaje que te propones recortar en cada una.</t>
        </is>
      </c>
    </row>
    <row r="4">
      <c r="B4" s="6" t="inlineStr">
        <is>
          <t>Las cifras se calculan para el período fijado en el Panel (celdas D5 y D6). Cambia el % de reducción para ver cuánto ahorrarías al año.</t>
        </is>
      </c>
    </row>
    <row r="7" ht="34" customHeight="1">
      <c r="B7" s="15" t="inlineStr">
        <is>
          <t>Categoría</t>
        </is>
      </c>
      <c r="C7" s="15" t="inlineStr">
        <is>
          <t>Nº gastos</t>
        </is>
      </c>
      <c r="D7" s="15" t="inlineStr">
        <is>
          <t>Total período</t>
        </is>
      </c>
      <c r="E7" s="15" t="inlineStr">
        <is>
          <t>% del total</t>
        </is>
      </c>
      <c r="F7" s="15" t="inlineStr">
        <is>
          <t>Gasto medio</t>
        </is>
      </c>
      <c r="G7" s="15" t="inlineStr">
        <is>
          <t>Proyección anual</t>
        </is>
      </c>
      <c r="H7" s="15" t="inlineStr">
        <is>
          <t>% de reducción</t>
        </is>
      </c>
      <c r="I7" s="15" t="inlineStr">
        <is>
          <t>Ahorro anual potencial</t>
        </is>
      </c>
      <c r="J7" s="15" t="inlineStr">
        <is>
          <t>Ranking</t>
        </is>
      </c>
    </row>
    <row r="8">
      <c r="B8" s="24" t="inlineStr">
        <is>
          <t>Cafés y desayunos</t>
        </is>
      </c>
      <c r="C8" s="8">
        <f>IF(B8="","",COUNTIFS(Registro!$D$7:$D$66,B8,Registro!$B$7:$B$66,"&gt;="&amp;Panel!$D$5,Registro!$B$7:$B$66,"&lt;="&amp;Panel!$D$6))</f>
        <v/>
      </c>
      <c r="D8" s="18">
        <f>IF(B8="","",SUMIFS(Registro!$E$7:$E$66,Registro!$D$7:$D$66,B8,Registro!$B$7:$B$66,"&gt;="&amp;Panel!$D$5,Registro!$B$7:$B$66,"&lt;="&amp;Panel!$D$6))</f>
        <v/>
      </c>
      <c r="E8" s="19">
        <f>IF(B8="","",IF($D$18=0,0,D8/$D$18))</f>
        <v/>
      </c>
      <c r="F8" s="18">
        <f>IF(B8="","",IF(C8=0,0,D8/C8))</f>
        <v/>
      </c>
      <c r="G8" s="18">
        <f>IF(B8="","",D8/Panel!$D$8*365)</f>
        <v/>
      </c>
      <c r="H8" s="27" t="n">
        <v>0.5</v>
      </c>
      <c r="I8" s="28">
        <f>IF(B8="","",ROUND(G8*N(H8),2))</f>
        <v/>
      </c>
      <c r="J8" s="8">
        <f>IF(B8="","",RANK(D8,$D$8:$D$17)+COUNTIF($D$8:D8,D8)-1)</f>
        <v/>
      </c>
    </row>
    <row r="9">
      <c r="B9" s="24" t="inlineStr">
        <is>
          <t>Snacks y vending</t>
        </is>
      </c>
      <c r="C9" s="8">
        <f>IF(B9="","",COUNTIFS(Registro!$D$7:$D$66,B9,Registro!$B$7:$B$66,"&gt;="&amp;Panel!$D$5,Registro!$B$7:$B$66,"&lt;="&amp;Panel!$D$6))</f>
        <v/>
      </c>
      <c r="D9" s="18">
        <f>IF(B9="","",SUMIFS(Registro!$E$7:$E$66,Registro!$D$7:$D$66,B9,Registro!$B$7:$B$66,"&gt;="&amp;Panel!$D$5,Registro!$B$7:$B$66,"&lt;="&amp;Panel!$D$6))</f>
        <v/>
      </c>
      <c r="E9" s="19">
        <f>IF(B9="","",IF($D$18=0,0,D9/$D$18))</f>
        <v/>
      </c>
      <c r="F9" s="18">
        <f>IF(B9="","",IF(C9=0,0,D9/C9))</f>
        <v/>
      </c>
      <c r="G9" s="18">
        <f>IF(B9="","",D9/Panel!$D$8*365)</f>
        <v/>
      </c>
      <c r="H9" s="27" t="n">
        <v>0.6</v>
      </c>
      <c r="I9" s="28">
        <f>IF(B9="","",ROUND(G9*N(H9),2))</f>
        <v/>
      </c>
      <c r="J9" s="8">
        <f>IF(B9="","",RANK(D9,$D$8:$D$17)+COUNTIF($D$8:D9,D9)-1)</f>
        <v/>
      </c>
    </row>
    <row r="10">
      <c r="B10" s="24" t="inlineStr">
        <is>
          <t>Bebidas</t>
        </is>
      </c>
      <c r="C10" s="8">
        <f>IF(B10="","",COUNTIFS(Registro!$D$7:$D$66,B10,Registro!$B$7:$B$66,"&gt;="&amp;Panel!$D$5,Registro!$B$7:$B$66,"&lt;="&amp;Panel!$D$6))</f>
        <v/>
      </c>
      <c r="D10" s="18">
        <f>IF(B10="","",SUMIFS(Registro!$E$7:$E$66,Registro!$D$7:$D$66,B10,Registro!$B$7:$B$66,"&gt;="&amp;Panel!$D$5,Registro!$B$7:$B$66,"&lt;="&amp;Panel!$D$6))</f>
        <v/>
      </c>
      <c r="E10" s="19">
        <f>IF(B10="","",IF($D$18=0,0,D10/$D$18))</f>
        <v/>
      </c>
      <c r="F10" s="18">
        <f>IF(B10="","",IF(C10=0,0,D10/C10))</f>
        <v/>
      </c>
      <c r="G10" s="18">
        <f>IF(B10="","",D10/Panel!$D$8*365)</f>
        <v/>
      </c>
      <c r="H10" s="27" t="n">
        <v>0.5</v>
      </c>
      <c r="I10" s="28">
        <f>IF(B10="","",ROUND(G10*N(H10),2))</f>
        <v/>
      </c>
      <c r="J10" s="8">
        <f>IF(B10="","",RANK(D10,$D$8:$D$17)+COUNTIF($D$8:D10,D10)-1)</f>
        <v/>
      </c>
    </row>
    <row r="11">
      <c r="B11" s="24" t="inlineStr">
        <is>
          <t>Apps y compras in-app</t>
        </is>
      </c>
      <c r="C11" s="8">
        <f>IF(B11="","",COUNTIFS(Registro!$D$7:$D$66,B11,Registro!$B$7:$B$66,"&gt;="&amp;Panel!$D$5,Registro!$B$7:$B$66,"&lt;="&amp;Panel!$D$6))</f>
        <v/>
      </c>
      <c r="D11" s="18">
        <f>IF(B11="","",SUMIFS(Registro!$E$7:$E$66,Registro!$D$7:$D$66,B11,Registro!$B$7:$B$66,"&gt;="&amp;Panel!$D$5,Registro!$B$7:$B$66,"&lt;="&amp;Panel!$D$6))</f>
        <v/>
      </c>
      <c r="E11" s="19">
        <f>IF(B11="","",IF($D$18=0,0,D11/$D$18))</f>
        <v/>
      </c>
      <c r="F11" s="18">
        <f>IF(B11="","",IF(C11=0,0,D11/C11))</f>
        <v/>
      </c>
      <c r="G11" s="18">
        <f>IF(B11="","",D11/Panel!$D$8*365)</f>
        <v/>
      </c>
      <c r="H11" s="27" t="n">
        <v>0.4</v>
      </c>
      <c r="I11" s="28">
        <f>IF(B11="","",ROUND(G11*N(H11),2))</f>
        <v/>
      </c>
      <c r="J11" s="8">
        <f>IF(B11="","",RANK(D11,$D$8:$D$17)+COUNTIF($D$8:D11,D11)-1)</f>
        <v/>
      </c>
    </row>
    <row r="12">
      <c r="B12" s="24" t="inlineStr">
        <is>
          <t>Comida para llevar</t>
        </is>
      </c>
      <c r="C12" s="8">
        <f>IF(B12="","",COUNTIFS(Registro!$D$7:$D$66,B12,Registro!$B$7:$B$66,"&gt;="&amp;Panel!$D$5,Registro!$B$7:$B$66,"&lt;="&amp;Panel!$D$6))</f>
        <v/>
      </c>
      <c r="D12" s="18">
        <f>IF(B12="","",SUMIFS(Registro!$E$7:$E$66,Registro!$D$7:$D$66,B12,Registro!$B$7:$B$66,"&gt;="&amp;Panel!$D$5,Registro!$B$7:$B$66,"&lt;="&amp;Panel!$D$6))</f>
        <v/>
      </c>
      <c r="E12" s="19">
        <f>IF(B12="","",IF($D$18=0,0,D12/$D$18))</f>
        <v/>
      </c>
      <c r="F12" s="18">
        <f>IF(B12="","",IF(C12=0,0,D12/C12))</f>
        <v/>
      </c>
      <c r="G12" s="18">
        <f>IF(B12="","",D12/Panel!$D$8*365)</f>
        <v/>
      </c>
      <c r="H12" s="27" t="n">
        <v>0.4</v>
      </c>
      <c r="I12" s="28">
        <f>IF(B12="","",ROUND(G12*N(H12),2))</f>
        <v/>
      </c>
      <c r="J12" s="8">
        <f>IF(B12="","",RANK(D12,$D$8:$D$17)+COUNTIF($D$8:D12,D12)-1)</f>
        <v/>
      </c>
    </row>
    <row r="13">
      <c r="B13" s="24" t="inlineStr">
        <is>
          <t>Compras impulso</t>
        </is>
      </c>
      <c r="C13" s="8">
        <f>IF(B13="","",COUNTIFS(Registro!$D$7:$D$66,B13,Registro!$B$7:$B$66,"&gt;="&amp;Panel!$D$5,Registro!$B$7:$B$66,"&lt;="&amp;Panel!$D$6))</f>
        <v/>
      </c>
      <c r="D13" s="18">
        <f>IF(B13="","",SUMIFS(Registro!$E$7:$E$66,Registro!$D$7:$D$66,B13,Registro!$B$7:$B$66,"&gt;="&amp;Panel!$D$5,Registro!$B$7:$B$66,"&lt;="&amp;Panel!$D$6))</f>
        <v/>
      </c>
      <c r="E13" s="19">
        <f>IF(B13="","",IF($D$18=0,0,D13/$D$18))</f>
        <v/>
      </c>
      <c r="F13" s="18">
        <f>IF(B13="","",IF(C13=0,0,D13/C13))</f>
        <v/>
      </c>
      <c r="G13" s="18">
        <f>IF(B13="","",D13/Panel!$D$8*365)</f>
        <v/>
      </c>
      <c r="H13" s="27" t="n">
        <v>0.5</v>
      </c>
      <c r="I13" s="28">
        <f>IF(B13="","",ROUND(G13*N(H13),2))</f>
        <v/>
      </c>
      <c r="J13" s="8">
        <f>IF(B13="","",RANK(D13,$D$8:$D$17)+COUNTIF($D$8:D13,D13)-1)</f>
        <v/>
      </c>
    </row>
    <row r="14">
      <c r="B14" s="24" t="inlineStr">
        <is>
          <t>Transporte suelto</t>
        </is>
      </c>
      <c r="C14" s="8">
        <f>IF(B14="","",COUNTIFS(Registro!$D$7:$D$66,B14,Registro!$B$7:$B$66,"&gt;="&amp;Panel!$D$5,Registro!$B$7:$B$66,"&lt;="&amp;Panel!$D$6))</f>
        <v/>
      </c>
      <c r="D14" s="18">
        <f>IF(B14="","",SUMIFS(Registro!$E$7:$E$66,Registro!$D$7:$D$66,B14,Registro!$B$7:$B$66,"&gt;="&amp;Panel!$D$5,Registro!$B$7:$B$66,"&lt;="&amp;Panel!$D$6))</f>
        <v/>
      </c>
      <c r="E14" s="19">
        <f>IF(B14="","",IF($D$18=0,0,D14/$D$18))</f>
        <v/>
      </c>
      <c r="F14" s="18">
        <f>IF(B14="","",IF(C14=0,0,D14/C14))</f>
        <v/>
      </c>
      <c r="G14" s="18">
        <f>IF(B14="","",D14/Panel!$D$8*365)</f>
        <v/>
      </c>
      <c r="H14" s="27" t="n">
        <v>0.2</v>
      </c>
      <c r="I14" s="28">
        <f>IF(B14="","",ROUND(G14*N(H14),2))</f>
        <v/>
      </c>
      <c r="J14" s="8">
        <f>IF(B14="","",RANK(D14,$D$8:$D$17)+COUNTIF($D$8:D14,D14)-1)</f>
        <v/>
      </c>
    </row>
    <row r="15">
      <c r="B15" s="24" t="inlineStr">
        <is>
          <t>Otros</t>
        </is>
      </c>
      <c r="C15" s="8">
        <f>IF(B15="","",COUNTIFS(Registro!$D$7:$D$66,B15,Registro!$B$7:$B$66,"&gt;="&amp;Panel!$D$5,Registro!$B$7:$B$66,"&lt;="&amp;Panel!$D$6))</f>
        <v/>
      </c>
      <c r="D15" s="18">
        <f>IF(B15="","",SUMIFS(Registro!$E$7:$E$66,Registro!$D$7:$D$66,B15,Registro!$B$7:$B$66,"&gt;="&amp;Panel!$D$5,Registro!$B$7:$B$66,"&lt;="&amp;Panel!$D$6))</f>
        <v/>
      </c>
      <c r="E15" s="19">
        <f>IF(B15="","",IF($D$18=0,0,D15/$D$18))</f>
        <v/>
      </c>
      <c r="F15" s="18">
        <f>IF(B15="","",IF(C15=0,0,D15/C15))</f>
        <v/>
      </c>
      <c r="G15" s="18">
        <f>IF(B15="","",D15/Panel!$D$8*365)</f>
        <v/>
      </c>
      <c r="H15" s="27" t="n">
        <v>0.25</v>
      </c>
      <c r="I15" s="28">
        <f>IF(B15="","",ROUND(G15*N(H15),2))</f>
        <v/>
      </c>
      <c r="J15" s="8">
        <f>IF(B15="","",RANK(D15,$D$8:$D$17)+COUNTIF($D$8:D15,D15)-1)</f>
        <v/>
      </c>
    </row>
    <row r="16">
      <c r="B16" s="24" t="n"/>
      <c r="C16" s="8">
        <f>IF(B16="","",COUNTIFS(Registro!$D$7:$D$66,B16,Registro!$B$7:$B$66,"&gt;="&amp;Panel!$D$5,Registro!$B$7:$B$66,"&lt;="&amp;Panel!$D$6))</f>
        <v/>
      </c>
      <c r="D16" s="18">
        <f>IF(B16="","",SUMIFS(Registro!$E$7:$E$66,Registro!$D$7:$D$66,B16,Registro!$B$7:$B$66,"&gt;="&amp;Panel!$D$5,Registro!$B$7:$B$66,"&lt;="&amp;Panel!$D$6))</f>
        <v/>
      </c>
      <c r="E16" s="19">
        <f>IF(B16="","",IF($D$18=0,0,D16/$D$18))</f>
        <v/>
      </c>
      <c r="F16" s="18">
        <f>IF(B16="","",IF(C16=0,0,D16/C16))</f>
        <v/>
      </c>
      <c r="G16" s="18">
        <f>IF(B16="","",D16/Panel!$D$8*365)</f>
        <v/>
      </c>
      <c r="H16" s="27" t="n"/>
      <c r="I16" s="28">
        <f>IF(B16="","",ROUND(G16*N(H16),2))</f>
        <v/>
      </c>
      <c r="J16" s="8">
        <f>IF(B16="","",RANK(D16,$D$8:$D$17)+COUNTIF($D$8:D16,D16)-1)</f>
        <v/>
      </c>
    </row>
    <row r="17">
      <c r="B17" s="24" t="n"/>
      <c r="C17" s="8">
        <f>IF(B17="","",COUNTIFS(Registro!$D$7:$D$66,B17,Registro!$B$7:$B$66,"&gt;="&amp;Panel!$D$5,Registro!$B$7:$B$66,"&lt;="&amp;Panel!$D$6))</f>
        <v/>
      </c>
      <c r="D17" s="18">
        <f>IF(B17="","",SUMIFS(Registro!$E$7:$E$66,Registro!$D$7:$D$66,B17,Registro!$B$7:$B$66,"&gt;="&amp;Panel!$D$5,Registro!$B$7:$B$66,"&lt;="&amp;Panel!$D$6))</f>
        <v/>
      </c>
      <c r="E17" s="19">
        <f>IF(B17="","",IF($D$18=0,0,D17/$D$18))</f>
        <v/>
      </c>
      <c r="F17" s="18">
        <f>IF(B17="","",IF(C17=0,0,D17/C17))</f>
        <v/>
      </c>
      <c r="G17" s="18">
        <f>IF(B17="","",D17/Panel!$D$8*365)</f>
        <v/>
      </c>
      <c r="H17" s="27" t="n"/>
      <c r="I17" s="28">
        <f>IF(B17="","",ROUND(G17*N(H17),2))</f>
        <v/>
      </c>
      <c r="J17" s="8">
        <f>IF(B17="","",RANK(D17,$D$8:$D$17)+COUNTIF($D$8:D17,D17)-1)</f>
        <v/>
      </c>
    </row>
    <row r="18">
      <c r="B18" s="4" t="inlineStr">
        <is>
          <t>Total</t>
        </is>
      </c>
      <c r="C18" s="29">
        <f>SUM(C8:C17)</f>
        <v/>
      </c>
      <c r="D18" s="23">
        <f>SUM(D8:D17)</f>
        <v/>
      </c>
      <c r="E18" s="30">
        <f>SUM(E8:E17)</f>
        <v/>
      </c>
      <c r="F18" s="23">
        <f>IF(C18=0,0,D18/C18)</f>
        <v/>
      </c>
      <c r="G18" s="23">
        <f>SUM(G8:G17)</f>
        <v/>
      </c>
      <c r="H18" s="30">
        <f>IF(G18=0,0,I18/G18)</f>
        <v/>
      </c>
      <c r="I18" s="23">
        <f>SUM(I8:I17)</f>
        <v/>
      </c>
    </row>
    <row r="19">
      <c r="B19" s="31" t="inlineStr">
        <is>
          <t>Importe sin categoría válida</t>
        </is>
      </c>
      <c r="D19" s="18">
        <f>ROUND(Panel!$B$11-D18,2)</f>
        <v/>
      </c>
      <c r="E19" s="6">
        <f>IF(D19=0,"Todo está bien categorizado.","Revisa el Registro: hay gastos sin categoría o con una categoría que no está en esta lista.")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B8:J17">
    <cfRule type="expression" priority="1" dxfId="2">
      <formula>MOD(ROW(),2)=0</formula>
    </cfRule>
  </conditionalFormatting>
  <conditionalFormatting sqref="D8:D17">
    <cfRule type="dataBar" priority="2">
      <dataBar>
        <cfvo type="num" val="0"/>
        <cfvo type="max"/>
        <color rgb="00F59E0B"/>
      </dataBar>
    </cfRule>
  </conditionalFormatting>
  <conditionalFormatting sqref="J8:J17">
    <cfRule type="expression" priority="3" dxfId="0">
      <formula>J8=1</formula>
    </cfRule>
  </conditionalFormatting>
  <conditionalFormatting sqref="D19">
    <cfRule type="expression" priority="4" dxfId="0">
      <formula>D19&lt;&gt;0</formula>
    </cfRule>
  </conditionalFormatting>
  <dataValidations count="1">
    <dataValidation sqref="H8:H17" showDropDown="0" showInputMessage="0" showErrorMessage="0" allowBlank="1" errorTitle="Porcentaje no válido" error="Escribe un porcentaje entre 0 % y 1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control de gastos hormiga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32" t="inlineStr">
        <is>
          <t>1.  Hoja «Categorías», celdas B8:B17: revisa las categorías de ejemplo (café, snacks, bebidas…) y cámbialas por las tuyas. Admite hasta 10; las que dejes vacías no cuentan.</t>
        </is>
      </c>
    </row>
    <row r="7" ht="30" customHeight="1">
      <c r="B7" s="32" t="inlineStr">
        <is>
          <t>2.  Hoja «Registro», a partir de la fila 7: apunta cada gasto pequeño con su fecha, un concepto corto, la categoría (desplegable) y el importe. Hay 60 filas listas; borra los ejemplos.</t>
        </is>
      </c>
    </row>
    <row r="8" ht="30" customHeight="1">
      <c r="B8" s="32" t="inlineStr">
        <is>
          <t>3.  Registra el gasto el mismo día, aunque sean 1,50 €: lo importante de un gasto hormiga es que no se te escape. La columna «Día» y la «Semana del período» se rellenan solas.</t>
        </is>
      </c>
    </row>
    <row r="9" ht="30" customHeight="1">
      <c r="B9" s="32" t="inlineStr">
        <is>
          <t>4.  Hoja «Panel», celdas D5 y D6: indica el período que quieres analizar (por ejemplo, un mes natural). Todo el Panel se recalcula con esas fechas.</t>
        </is>
      </c>
    </row>
    <row r="10" ht="30" customHeight="1">
      <c r="B10" s="32" t="inlineStr">
        <is>
          <t>5.  Celda D7 del Panel: escribe el tope mensual que quieres darte para este tipo de gastos. El indicador «Uso del tope mensual» se pondrá en rojo si tu ritmo lo supera.</t>
        </is>
      </c>
    </row>
    <row r="11" ht="30" customHeight="1">
      <c r="B11" s="32" t="inlineStr">
        <is>
          <t>6.  Hoja «Categorías», columna H: fija el porcentaje que te propones reducir en cada categoría. La columna «Ahorro anual potencial» te dice cuánto representaría al año.</t>
        </is>
      </c>
    </row>
    <row r="12" ht="30" customHeight="1">
      <c r="B12" s="32" t="inlineStr">
        <is>
          <t>7.  Mira el Panel: gastado en el período, media diaria, proyección mensual y anual, ranking de categorías y día de la semana con más gasto. Empieza por recortar la categoría número 1.</t>
        </is>
      </c>
    </row>
    <row r="13" ht="30" customHeight="1">
      <c r="B13" s="32" t="inlineStr">
        <is>
          <t>8.  Repite el análisis cada mes cambiando las fechas del Panel, o añade más meses al Registro y analiza todo el trimestre.</t>
        </is>
      </c>
    </row>
    <row r="15">
      <c r="B15" s="14" t="inlineStr">
        <is>
          <t>CONSEJOS</t>
        </is>
      </c>
    </row>
    <row r="16" ht="18" customHeight="1">
      <c r="B16" s="32" t="inlineStr">
        <is>
          <t>•  Los datos de septiembre de 2026 son un ejemplo ficticio. Sustitúyelos por tus propios gastos.</t>
        </is>
      </c>
    </row>
    <row r="17" ht="30" customHeight="1">
      <c r="B17" s="32" t="inlineStr">
        <is>
          <t>•  La proyección anual es media diaria × 365: supone que mantendrás el mismo ritmo. Cuanto más largo sea el período analizado, más fiable es la estimación.</t>
        </is>
      </c>
    </row>
    <row r="18" ht="30" customHeight="1">
      <c r="B18" s="32" t="inlineStr">
        <is>
          <t>•  Los porcentajes de reducción y el tope mensual son parámetros tuyos, no recomendaciones ni cifras oficiales.</t>
        </is>
      </c>
    </row>
    <row r="19" ht="30" customHeight="1">
      <c r="B19" s="32" t="inlineStr">
        <is>
          <t>•  Si el importe sin categoría válida (hoja Categorías, celda D19) no es cero, hay gastos con una categoría que no está en la lista.</t>
        </is>
      </c>
    </row>
    <row r="20" ht="30" customHeight="1">
      <c r="B20" s="32" t="inlineStr">
        <is>
          <t>•  Las celdas con fondo crema y texto azul son editables; el resto está protegido sin contraseña (Revisar &gt; Desproteger hoja).</t>
        </is>
      </c>
    </row>
    <row r="22">
      <c r="B22" s="31" t="inlineStr">
        <is>
          <t>Las celdas con fondo crema y texto azul son para rellenar; las verdes se calculan solas.</t>
        </is>
      </c>
    </row>
    <row r="24" ht="44" customHeight="1">
      <c r="B24" s="33" t="inlineStr">
        <is>
          <t>Aviso: plantilla educativa para registrar y organizar tus pequeños gastos. No constituye asesoramiento financiero ni sustituye a un profesional. Las proyecciones son estimaciones basadas en tus propios datos.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2026-10-02T13:06:34Z</dcterms:created>
  <dcterms:modified xmlns:dcterms="http://purl.org/dc/terms/" xmlns:xsi="http://www.w3.org/2001/XMLSchema-instance" xsi:type="dcterms:W3CDTF">2026-10-02T13:06:34Z</dcterms:modified>
</cp:coreProperties>
</file>