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rograma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Objetivo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.0000 &quot;€&quot;"/>
    <numFmt numFmtId="166" formatCode="#,##0.00 &quot;€&quot;"/>
    <numFmt numFmtId="167" formatCode="yyyy-mm-dd"/>
    <numFmt numFmtId="168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66" fontId="10" fillId="6" borderId="0" applyAlignment="1" pivotButton="0" quotePrefix="0" xfId="0">
      <alignment horizontal="center" vertical="center"/>
    </xf>
    <xf numFmtId="164" fontId="10" fillId="6" borderId="0" applyAlignment="1" pivotButton="0" quotePrefix="0" xfId="0">
      <alignment horizontal="center" vertical="center"/>
    </xf>
    <xf numFmtId="168" fontId="10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8" fillId="5" borderId="1" applyAlignment="1" pivotButton="0" quotePrefix="0" xfId="0">
      <alignment vertical="center"/>
    </xf>
    <xf numFmtId="0" fontId="0" fillId="5" borderId="4" pivotButton="0" quotePrefix="0" xfId="0"/>
    <xf numFmtId="0" fontId="0" fillId="5" borderId="5" pivotButton="0" quotePrefix="0" xfId="0"/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center" vertical="center"/>
    </xf>
    <xf numFmtId="3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168" fontId="8" fillId="5" borderId="1" applyAlignment="1" pivotButton="0" quotePrefix="0" xfId="0">
      <alignment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3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vertical="center"/>
      <protection locked="0" hidden="0"/>
    </xf>
    <xf numFmtId="3" fontId="7" fillId="0" borderId="1" applyAlignment="1" pivotButton="0" quotePrefix="0" xfId="0">
      <alignment vertical="center"/>
    </xf>
    <xf numFmtId="3" fontId="4" fillId="3" borderId="1" applyAlignment="1" applyProtection="1" pivotButton="0" quotePrefix="0" xfId="0">
      <alignment vertical="center"/>
      <protection locked="0" hidden="0"/>
    </xf>
    <xf numFmtId="166" fontId="6" fillId="0" borderId="1" applyAlignment="1" pivotButton="0" quotePrefix="0" xfId="0">
      <alignment vertical="center"/>
    </xf>
    <xf numFmtId="164" fontId="6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estimado por programa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'Resumen'!D17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'Resumen'!$B$18:$B$27</f>
            </numRef>
          </cat>
          <val>
            <numRef>
              <f>'Resumen'!$D$18:$D$27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estimado por tipo de programa</a:t>
            </a:r>
          </a:p>
        </rich>
      </tx>
    </title>
    <plotArea>
      <pieChart>
        <varyColors val="1"/>
        <ser>
          <idx val="0"/>
          <order val="0"/>
          <tx>
            <strRef>
              <f>'Resumen'!D31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'Resumen'!$B$32:$B$35</f>
            </numRef>
          </cat>
          <val>
            <numRef>
              <f>'Resumen'!$D$32:$D$35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21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5" customWidth="1" min="3" max="3"/>
    <col width="15" customWidth="1" min="4" max="4"/>
    <col width="15" customWidth="1" min="5" max="5"/>
    <col width="18" customWidth="1" min="6" max="6"/>
    <col width="15" customWidth="1" min="7" max="7"/>
    <col width="4" customWidth="1" min="8" max="8"/>
  </cols>
  <sheetData>
    <row r="2" ht="34" customHeight="1">
      <c r="B2" s="1" t="inlineStr">
        <is>
          <t>Resumen de millas y puntos</t>
        </is>
      </c>
      <c r="C2" s="2" t="n"/>
      <c r="D2" s="2" t="n"/>
      <c r="E2" s="2" t="n"/>
      <c r="F2" s="2" t="n"/>
      <c r="G2" s="2" t="n"/>
    </row>
    <row r="3">
      <c r="B3" s="3" t="inlineStr">
        <is>
          <t>¿Cuántos puntos tienes, cuánto valen y qué está a punto de caducar?</t>
        </is>
      </c>
    </row>
    <row r="5" ht="30" customHeight="1">
      <c r="B5" s="4" t="inlineStr">
        <is>
          <t>PUNTOS TOTALES</t>
        </is>
      </c>
      <c r="D5" s="4" t="inlineStr">
        <is>
          <t>VALOR ESTIMADO TOTAL</t>
        </is>
      </c>
      <c r="F5" s="4" t="inlineStr">
        <is>
          <t>PROGRAMAS CON SALDO</t>
        </is>
      </c>
    </row>
    <row r="6" ht="32" customHeight="1">
      <c r="B6" s="5">
        <f>SUM(Programas!H9:H18)</f>
        <v/>
      </c>
      <c r="D6" s="6">
        <f>SUM(Programas!I9:I18)</f>
        <v/>
      </c>
      <c r="F6" s="5">
        <f>COUNTIF(Programas!H9:H18,"&gt;0")</f>
        <v/>
      </c>
    </row>
    <row r="8" ht="30" customHeight="1">
      <c r="B8" s="4" t="inlineStr">
        <is>
          <t>PUNTOS QUE CADUCAN PRONTO</t>
        </is>
      </c>
      <c r="D8" s="4" t="inlineStr">
        <is>
          <t>VALOR EN RIESGO</t>
        </is>
      </c>
      <c r="F8" s="4" t="inlineStr">
        <is>
          <t>PRÓXIMA CADUCIDAD</t>
        </is>
      </c>
    </row>
    <row r="9" ht="32" customHeight="1">
      <c r="B9" s="5">
        <f>SUM(Programas!M9:M18)</f>
        <v/>
      </c>
      <c r="D9" s="6">
        <f>SUMIF(Programas!L9:L18,"Caduca pronto",Programas!I9:I18)</f>
        <v/>
      </c>
      <c r="F9" s="7">
        <f>IFERROR(SMALL(Programas!J9:J18,COUNTIF(Programas!J9:J18,"&lt;"&amp;Programas!C5)+1),"Ninguna")</f>
        <v/>
      </c>
    </row>
    <row r="11" ht="30" customHeight="1">
      <c r="B11" s="4" t="inlineStr">
        <is>
          <t>PUNTOS ACUMULADOS</t>
        </is>
      </c>
      <c r="D11" s="4" t="inlineStr">
        <is>
          <t>PUNTOS CANJEADOS</t>
        </is>
      </c>
      <c r="F11" s="4" t="inlineStr">
        <is>
          <t>% DE LO ACUMULADO YA CANJEADO</t>
        </is>
      </c>
    </row>
    <row r="12" ht="32" customHeight="1">
      <c r="B12" s="5">
        <f>SUM(Programas!E9:E18)</f>
        <v/>
      </c>
      <c r="D12" s="5">
        <f>SUM(Programas!F9:F18)</f>
        <v/>
      </c>
      <c r="F12" s="8">
        <f>IF(B12&gt;0,D12/B12,0)</f>
        <v/>
      </c>
    </row>
    <row r="14">
      <c r="B14" s="9" t="inlineStr">
        <is>
          <t>AVISO DE CADUCIDAD</t>
        </is>
      </c>
      <c r="C14" s="10">
        <f>IF(COUNTIF(Programas!L9:L18,"Caducado")&gt;0,"Hay "&amp;COUNTIF(Programas!L9:L18,"Caducado")&amp;" programa(s) con la fecha ya pasada: revisa y registra los puntos perdidos",IF(COUNTIF(Programas!L9:L18,"Caduca pronto")&gt;0,"Atención: "&amp;COUNTIF(Programas!L9:L18,"Caduca pronto")&amp;" programa(s) caducan en "&amp;Programas!C6&amp;" días o menos","Sin caducidades próximas"))</f>
        <v/>
      </c>
      <c r="D14" s="11" t="n"/>
      <c r="E14" s="11" t="n"/>
      <c r="F14" s="11" t="n"/>
      <c r="G14" s="12" t="n"/>
    </row>
    <row r="16">
      <c r="B16" s="13" t="inlineStr">
        <is>
          <t>SALDO POR PROGRAMA</t>
        </is>
      </c>
    </row>
    <row r="17" ht="32" customHeight="1">
      <c r="B17" s="14" t="inlineStr">
        <is>
          <t>Programa</t>
        </is>
      </c>
      <c r="C17" s="14" t="inlineStr">
        <is>
          <t>Saldo de puntos</t>
        </is>
      </c>
      <c r="D17" s="14" t="inlineStr">
        <is>
          <t>Valor estimado</t>
        </is>
      </c>
      <c r="E17" s="14" t="inlineStr">
        <is>
          <t>Días restantes</t>
        </is>
      </c>
      <c r="F17" s="14" t="inlineStr">
        <is>
          <t>Estado</t>
        </is>
      </c>
      <c r="G17" s="14" t="inlineStr">
        <is>
          <t>% del valor total</t>
        </is>
      </c>
    </row>
    <row r="18">
      <c r="B18" s="15">
        <f>IF(Programas!B9="","",Programas!B9)</f>
        <v/>
      </c>
      <c r="C18" s="16">
        <f>IF(B18="","",Programas!H9)</f>
        <v/>
      </c>
      <c r="D18" s="17">
        <f>IF(B18="","",Programas!I9)</f>
        <v/>
      </c>
      <c r="E18" s="18">
        <f>IF(B18="","",Programas!K9)</f>
        <v/>
      </c>
      <c r="F18" s="19">
        <f>IF(B18="","",Programas!L9)</f>
        <v/>
      </c>
      <c r="G18" s="20">
        <f>IF(OR(B18="",$D$28=0),"",D18/$D$28)</f>
        <v/>
      </c>
    </row>
    <row r="19">
      <c r="B19" s="15">
        <f>IF(Programas!B10="","",Programas!B10)</f>
        <v/>
      </c>
      <c r="C19" s="16">
        <f>IF(B19="","",Programas!H10)</f>
        <v/>
      </c>
      <c r="D19" s="17">
        <f>IF(B19="","",Programas!I10)</f>
        <v/>
      </c>
      <c r="E19" s="18">
        <f>IF(B19="","",Programas!K10)</f>
        <v/>
      </c>
      <c r="F19" s="19">
        <f>IF(B19="","",Programas!L10)</f>
        <v/>
      </c>
      <c r="G19" s="20">
        <f>IF(OR(B19="",$D$28=0),"",D19/$D$28)</f>
        <v/>
      </c>
    </row>
    <row r="20">
      <c r="B20" s="15">
        <f>IF(Programas!B11="","",Programas!B11)</f>
        <v/>
      </c>
      <c r="C20" s="16">
        <f>IF(B20="","",Programas!H11)</f>
        <v/>
      </c>
      <c r="D20" s="17">
        <f>IF(B20="","",Programas!I11)</f>
        <v/>
      </c>
      <c r="E20" s="18">
        <f>IF(B20="","",Programas!K11)</f>
        <v/>
      </c>
      <c r="F20" s="19">
        <f>IF(B20="","",Programas!L11)</f>
        <v/>
      </c>
      <c r="G20" s="20">
        <f>IF(OR(B20="",$D$28=0),"",D20/$D$28)</f>
        <v/>
      </c>
    </row>
    <row r="21">
      <c r="B21" s="15">
        <f>IF(Programas!B12="","",Programas!B12)</f>
        <v/>
      </c>
      <c r="C21" s="16">
        <f>IF(B21="","",Programas!H12)</f>
        <v/>
      </c>
      <c r="D21" s="17">
        <f>IF(B21="","",Programas!I12)</f>
        <v/>
      </c>
      <c r="E21" s="18">
        <f>IF(B21="","",Programas!K12)</f>
        <v/>
      </c>
      <c r="F21" s="19">
        <f>IF(B21="","",Programas!L12)</f>
        <v/>
      </c>
      <c r="G21" s="20">
        <f>IF(OR(B21="",$D$28=0),"",D21/$D$28)</f>
        <v/>
      </c>
    </row>
    <row r="22">
      <c r="B22" s="15">
        <f>IF(Programas!B13="","",Programas!B13)</f>
        <v/>
      </c>
      <c r="C22" s="16">
        <f>IF(B22="","",Programas!H13)</f>
        <v/>
      </c>
      <c r="D22" s="17">
        <f>IF(B22="","",Programas!I13)</f>
        <v/>
      </c>
      <c r="E22" s="18">
        <f>IF(B22="","",Programas!K13)</f>
        <v/>
      </c>
      <c r="F22" s="19">
        <f>IF(B22="","",Programas!L13)</f>
        <v/>
      </c>
      <c r="G22" s="20">
        <f>IF(OR(B22="",$D$28=0),"",D22/$D$28)</f>
        <v/>
      </c>
    </row>
    <row r="23">
      <c r="B23" s="15">
        <f>IF(Programas!B14="","",Programas!B14)</f>
        <v/>
      </c>
      <c r="C23" s="16">
        <f>IF(B23="","",Programas!H14)</f>
        <v/>
      </c>
      <c r="D23" s="17">
        <f>IF(B23="","",Programas!I14)</f>
        <v/>
      </c>
      <c r="E23" s="18">
        <f>IF(B23="","",Programas!K14)</f>
        <v/>
      </c>
      <c r="F23" s="19">
        <f>IF(B23="","",Programas!L14)</f>
        <v/>
      </c>
      <c r="G23" s="20">
        <f>IF(OR(B23="",$D$28=0),"",D23/$D$28)</f>
        <v/>
      </c>
    </row>
    <row r="24">
      <c r="B24" s="15">
        <f>IF(Programas!B15="","",Programas!B15)</f>
        <v/>
      </c>
      <c r="C24" s="16">
        <f>IF(B24="","",Programas!H15)</f>
        <v/>
      </c>
      <c r="D24" s="17">
        <f>IF(B24="","",Programas!I15)</f>
        <v/>
      </c>
      <c r="E24" s="18">
        <f>IF(B24="","",Programas!K15)</f>
        <v/>
      </c>
      <c r="F24" s="19">
        <f>IF(B24="","",Programas!L15)</f>
        <v/>
      </c>
      <c r="G24" s="20">
        <f>IF(OR(B24="",$D$28=0),"",D24/$D$28)</f>
        <v/>
      </c>
    </row>
    <row r="25">
      <c r="B25" s="15">
        <f>IF(Programas!B16="","",Programas!B16)</f>
        <v/>
      </c>
      <c r="C25" s="16">
        <f>IF(B25="","",Programas!H16)</f>
        <v/>
      </c>
      <c r="D25" s="17">
        <f>IF(B25="","",Programas!I16)</f>
        <v/>
      </c>
      <c r="E25" s="18">
        <f>IF(B25="","",Programas!K16)</f>
        <v/>
      </c>
      <c r="F25" s="19">
        <f>IF(B25="","",Programas!L16)</f>
        <v/>
      </c>
      <c r="G25" s="20">
        <f>IF(OR(B25="",$D$28=0),"",D25/$D$28)</f>
        <v/>
      </c>
    </row>
    <row r="26">
      <c r="B26" s="15">
        <f>IF(Programas!B17="","",Programas!B17)</f>
        <v/>
      </c>
      <c r="C26" s="16">
        <f>IF(B26="","",Programas!H17)</f>
        <v/>
      </c>
      <c r="D26" s="17">
        <f>IF(B26="","",Programas!I17)</f>
        <v/>
      </c>
      <c r="E26" s="18">
        <f>IF(B26="","",Programas!K17)</f>
        <v/>
      </c>
      <c r="F26" s="19">
        <f>IF(B26="","",Programas!L17)</f>
        <v/>
      </c>
      <c r="G26" s="20">
        <f>IF(OR(B26="",$D$28=0),"",D26/$D$28)</f>
        <v/>
      </c>
    </row>
    <row r="27">
      <c r="B27" s="15">
        <f>IF(Programas!B18="","",Programas!B18)</f>
        <v/>
      </c>
      <c r="C27" s="16">
        <f>IF(B27="","",Programas!H18)</f>
        <v/>
      </c>
      <c r="D27" s="17">
        <f>IF(B27="","",Programas!I18)</f>
        <v/>
      </c>
      <c r="E27" s="18">
        <f>IF(B27="","",Programas!K18)</f>
        <v/>
      </c>
      <c r="F27" s="19">
        <f>IF(B27="","",Programas!L18)</f>
        <v/>
      </c>
      <c r="G27" s="20">
        <f>IF(OR(B27="",$D$28=0),"",D27/$D$28)</f>
        <v/>
      </c>
    </row>
    <row r="28">
      <c r="B28" s="9" t="inlineStr">
        <is>
          <t>TOTAL</t>
        </is>
      </c>
      <c r="C28" s="21">
        <f>SUM(C18:C27)</f>
        <v/>
      </c>
      <c r="D28" s="22">
        <f>SUM(D18:D27)</f>
        <v/>
      </c>
      <c r="G28" s="23">
        <f>SUM(G18:G27)</f>
        <v/>
      </c>
    </row>
    <row r="30">
      <c r="B30" s="13" t="inlineStr">
        <is>
          <t>VALOR POR TIPO DE PROGRAMA</t>
        </is>
      </c>
    </row>
    <row r="31" ht="32" customHeight="1">
      <c r="B31" s="14" t="inlineStr">
        <is>
          <t>Tipo</t>
        </is>
      </c>
      <c r="C31" s="14" t="inlineStr">
        <is>
          <t>Saldo de puntos</t>
        </is>
      </c>
      <c r="D31" s="14" t="inlineStr">
        <is>
          <t>Valor estimado</t>
        </is>
      </c>
      <c r="E31" s="14" t="inlineStr">
        <is>
          <t>% del valor total</t>
        </is>
      </c>
    </row>
    <row r="32">
      <c r="B32" s="15">
        <f>Listas!A2</f>
        <v/>
      </c>
      <c r="C32" s="16">
        <f>SUMIF(Programas!C9:C18,B32,Programas!H9:H18)</f>
        <v/>
      </c>
      <c r="D32" s="17">
        <f>SUMIF(Programas!C9:C18,B32,Programas!I9:I18)</f>
        <v/>
      </c>
      <c r="E32" s="20">
        <f>IF($D$36&gt;0,D32/$D$36,0)</f>
        <v/>
      </c>
    </row>
    <row r="33">
      <c r="B33" s="15">
        <f>Listas!A3</f>
        <v/>
      </c>
      <c r="C33" s="16">
        <f>SUMIF(Programas!C9:C18,B33,Programas!H9:H18)</f>
        <v/>
      </c>
      <c r="D33" s="17">
        <f>SUMIF(Programas!C9:C18,B33,Programas!I9:I18)</f>
        <v/>
      </c>
      <c r="E33" s="20">
        <f>IF($D$36&gt;0,D33/$D$36,0)</f>
        <v/>
      </c>
    </row>
    <row r="34">
      <c r="B34" s="15">
        <f>Listas!A4</f>
        <v/>
      </c>
      <c r="C34" s="16">
        <f>SUMIF(Programas!C9:C18,B34,Programas!H9:H18)</f>
        <v/>
      </c>
      <c r="D34" s="17">
        <f>SUMIF(Programas!C9:C18,B34,Programas!I9:I18)</f>
        <v/>
      </c>
      <c r="E34" s="20">
        <f>IF($D$36&gt;0,D34/$D$36,0)</f>
        <v/>
      </c>
    </row>
    <row r="35">
      <c r="B35" s="15">
        <f>Listas!A5</f>
        <v/>
      </c>
      <c r="C35" s="16">
        <f>SUMIF(Programas!C9:C18,B35,Programas!H9:H18)</f>
        <v/>
      </c>
      <c r="D35" s="17">
        <f>SUMIF(Programas!C9:C18,B35,Programas!I9:I18)</f>
        <v/>
      </c>
      <c r="E35" s="20">
        <f>IF($D$36&gt;0,D35/$D$36,0)</f>
        <v/>
      </c>
    </row>
    <row r="36">
      <c r="B36" s="9" t="inlineStr">
        <is>
          <t>TOTAL</t>
        </is>
      </c>
      <c r="C36" s="21">
        <f>SUM(C32:C35)</f>
        <v/>
      </c>
      <c r="D36" s="22">
        <f>SUM(D32:D35)</f>
        <v/>
      </c>
      <c r="E36" s="23">
        <f>SUM(E32:E35)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1">
    <mergeCell ref="B2:G2"/>
    <mergeCell ref="F11:G11"/>
    <mergeCell ref="F6:G6"/>
    <mergeCell ref="C14:G14"/>
    <mergeCell ref="B12:C12"/>
    <mergeCell ref="D6:E6"/>
    <mergeCell ref="F12:G12"/>
    <mergeCell ref="B11:C11"/>
    <mergeCell ref="D11:E11"/>
    <mergeCell ref="F5:G5"/>
    <mergeCell ref="B8:C8"/>
    <mergeCell ref="F8:G8"/>
    <mergeCell ref="B9:C9"/>
    <mergeCell ref="D9:E9"/>
    <mergeCell ref="F9:G9"/>
    <mergeCell ref="D12:E12"/>
    <mergeCell ref="B3:G3"/>
    <mergeCell ref="D8:E8"/>
    <mergeCell ref="B6:C6"/>
    <mergeCell ref="B5:C5"/>
    <mergeCell ref="D5:E5"/>
  </mergeCells>
  <conditionalFormatting sqref="C14:G14">
    <cfRule type="expression" priority="1" dxfId="0">
      <formula>LEFT($C$14,3)="Hay"</formula>
    </cfRule>
    <cfRule type="expression" priority="2" dxfId="1">
      <formula>LEFT($C$14,8)="Atención"</formula>
    </cfRule>
  </conditionalFormatting>
  <conditionalFormatting sqref="F18:F27">
    <cfRule type="cellIs" priority="3" operator="equal" dxfId="0">
      <formula>"Caducado"</formula>
    </cfRule>
    <cfRule type="cellIs" priority="4" operator="equal" dxfId="1">
      <formula>"Caduca pronto"</formula>
    </cfRule>
    <cfRule type="cellIs" priority="5" operator="equal" dxfId="2">
      <formula>"Vigente"</formula>
    </cfRule>
  </conditionalFormatting>
  <conditionalFormatting sqref="D18:D27">
    <cfRule type="dataBar" priority="6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M21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5" customWidth="1" min="9" max="9"/>
    <col width="16" customWidth="1" min="10" max="10"/>
    <col width="12" customWidth="1" min="11" max="11"/>
    <col width="17" customWidth="1" min="12" max="12"/>
    <col width="15" customWidth="1" min="13" max="13"/>
    <col width="3" customWidth="1" min="14" max="14"/>
  </cols>
  <sheetData>
    <row r="2" ht="34" customHeight="1">
      <c r="B2" s="1" t="inlineStr">
        <is>
          <t>Programas de puntos y millas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 programa por fila: el saldo sale solo de la hoja Movimientos</t>
        </is>
      </c>
    </row>
    <row r="5">
      <c r="B5" s="9" t="inlineStr">
        <is>
          <t>Fecha de referencia (por defecto, hoy)</t>
        </is>
      </c>
      <c r="C5" s="24">
        <f>TODAY()</f>
        <v/>
      </c>
      <c r="D5" s="25" t="inlineStr">
        <is>
          <t>Escribe una fecha fija si quieres congelar los avisos</t>
        </is>
      </c>
    </row>
    <row r="6">
      <c r="B6" s="9" t="inlineStr">
        <is>
          <t>Avisar de la caducidad con (días)</t>
        </is>
      </c>
      <c r="C6" s="26" t="n">
        <v>90</v>
      </c>
      <c r="D6" s="25" t="inlineStr">
        <is>
          <t>Un programa pasa a «Caduca pronto» cuando le quedan esos días o menos</t>
        </is>
      </c>
    </row>
    <row r="8" ht="40" customHeight="1">
      <c r="B8" s="14" t="inlineStr">
        <is>
          <t>Programa</t>
        </is>
      </c>
      <c r="C8" s="14" t="inlineStr">
        <is>
          <t>Tipo</t>
        </is>
      </c>
      <c r="D8" s="14" t="inlineStr">
        <is>
          <t>Valor por punto (€)</t>
        </is>
      </c>
      <c r="E8" s="14" t="inlineStr">
        <is>
          <t>Puntos acumulados</t>
        </is>
      </c>
      <c r="F8" s="14" t="inlineStr">
        <is>
          <t>Puntos canjeados</t>
        </is>
      </c>
      <c r="G8" s="14" t="inlineStr">
        <is>
          <t>Puntos caducados</t>
        </is>
      </c>
      <c r="H8" s="14" t="inlineStr">
        <is>
          <t>Saldo de puntos</t>
        </is>
      </c>
      <c r="I8" s="14" t="inlineStr">
        <is>
          <t>Valor estimado</t>
        </is>
      </c>
      <c r="J8" s="14" t="inlineStr">
        <is>
          <t>Fecha de caducidad</t>
        </is>
      </c>
      <c r="K8" s="14" t="inlineStr">
        <is>
          <t>Días restantes</t>
        </is>
      </c>
      <c r="L8" s="14" t="inlineStr">
        <is>
          <t>Estado</t>
        </is>
      </c>
      <c r="M8" s="14" t="inlineStr">
        <is>
          <t>Puntos en riesgo</t>
        </is>
      </c>
    </row>
    <row r="9">
      <c r="B9" s="27" t="inlineStr">
        <is>
          <t>Aerolínea Norte</t>
        </is>
      </c>
      <c r="C9" s="28" t="inlineStr">
        <is>
          <t>Aerolínea</t>
        </is>
      </c>
      <c r="D9" s="29" t="n">
        <v>0.012</v>
      </c>
      <c r="E9" s="16">
        <f>IF(B9="","",SUMIFS(Movimientos!$F$7:$F$46,Movimientos!$C$7:$C$46,B9,Movimientos!$D$7:$D$46,"Acumulación"))</f>
        <v/>
      </c>
      <c r="F9" s="16">
        <f>IF(B9="","",SUMIFS(Movimientos!$F$7:$F$46,Movimientos!$C$7:$C$46,B9,Movimientos!$D$7:$D$46,"Canje"))</f>
        <v/>
      </c>
      <c r="G9" s="16">
        <f>IF(B9="","",SUMIFS(Movimientos!$F$7:$F$46,Movimientos!$C$7:$C$46,B9,Movimientos!$D$7:$D$46,"Caducidad"))</f>
        <v/>
      </c>
      <c r="H9" s="30">
        <f>IF(B9="","",E9-F9-G9)</f>
        <v/>
      </c>
      <c r="I9" s="17">
        <f>IF(B9="","",H9*N(D9))</f>
        <v/>
      </c>
      <c r="J9" s="24" t="n">
        <v>46461</v>
      </c>
      <c r="K9" s="18">
        <f>IF(OR(B9="",J9=""),"",J9-$C$5)</f>
        <v/>
      </c>
      <c r="L9" s="19">
        <f>IF(B9="","",IF(J9="","Sin caducidad",IF(K9&lt;0,"Caducado",IF(K9&lt;=$C$6,"Caduca pronto","Vigente"))))</f>
        <v/>
      </c>
      <c r="M9" s="16">
        <f>IF(B9="","",IF(L9="Caduca pronto",H9,0))</f>
        <v/>
      </c>
    </row>
    <row r="10">
      <c r="B10" s="27" t="inlineStr">
        <is>
          <t>Hoteles Costa</t>
        </is>
      </c>
      <c r="C10" s="28" t="inlineStr">
        <is>
          <t>Hotel</t>
        </is>
      </c>
      <c r="D10" s="29" t="n">
        <v>0.008</v>
      </c>
      <c r="E10" s="16">
        <f>IF(B10="","",SUMIFS(Movimientos!$F$7:$F$46,Movimientos!$C$7:$C$46,B10,Movimientos!$D$7:$D$46,"Acumulación"))</f>
        <v/>
      </c>
      <c r="F10" s="16">
        <f>IF(B10="","",SUMIFS(Movimientos!$F$7:$F$46,Movimientos!$C$7:$C$46,B10,Movimientos!$D$7:$D$46,"Canje"))</f>
        <v/>
      </c>
      <c r="G10" s="16">
        <f>IF(B10="","",SUMIFS(Movimientos!$F$7:$F$46,Movimientos!$C$7:$C$46,B10,Movimientos!$D$7:$D$46,"Caducidad"))</f>
        <v/>
      </c>
      <c r="H10" s="30">
        <f>IF(B10="","",E10-F10-G10)</f>
        <v/>
      </c>
      <c r="I10" s="17">
        <f>IF(B10="","",H10*N(D10))</f>
        <v/>
      </c>
      <c r="J10" s="24" t="n">
        <v>46376</v>
      </c>
      <c r="K10" s="18">
        <f>IF(OR(B10="",J10=""),"",J10-$C$5)</f>
        <v/>
      </c>
      <c r="L10" s="19">
        <f>IF(B10="","",IF(J10="","Sin caducidad",IF(K10&lt;0,"Caducado",IF(K10&lt;=$C$6,"Caduca pronto","Vigente"))))</f>
        <v/>
      </c>
      <c r="M10" s="16">
        <f>IF(B10="","",IF(L10="Caduca pronto",H10,0))</f>
        <v/>
      </c>
    </row>
    <row r="11">
      <c r="B11" s="27" t="inlineStr">
        <is>
          <t>Tarjeta Viajes</t>
        </is>
      </c>
      <c r="C11" s="28" t="inlineStr">
        <is>
          <t>Tarjeta</t>
        </is>
      </c>
      <c r="D11" s="29" t="n">
        <v>0.01</v>
      </c>
      <c r="E11" s="16">
        <f>IF(B11="","",SUMIFS(Movimientos!$F$7:$F$46,Movimientos!$C$7:$C$46,B11,Movimientos!$D$7:$D$46,"Acumulación"))</f>
        <v/>
      </c>
      <c r="F11" s="16">
        <f>IF(B11="","",SUMIFS(Movimientos!$F$7:$F$46,Movimientos!$C$7:$C$46,B11,Movimientos!$D$7:$D$46,"Canje"))</f>
        <v/>
      </c>
      <c r="G11" s="16">
        <f>IF(B11="","",SUMIFS(Movimientos!$F$7:$F$46,Movimientos!$C$7:$C$46,B11,Movimientos!$D$7:$D$46,"Caducidad"))</f>
        <v/>
      </c>
      <c r="H11" s="30">
        <f>IF(B11="","",E11-F11-G11)</f>
        <v/>
      </c>
      <c r="I11" s="17">
        <f>IF(B11="","",H11*N(D11))</f>
        <v/>
      </c>
      <c r="J11" s="24" t="n"/>
      <c r="K11" s="18">
        <f>IF(OR(B11="",J11=""),"",J11-$C$5)</f>
        <v/>
      </c>
      <c r="L11" s="19">
        <f>IF(B11="","",IF(J11="","Sin caducidad",IF(K11&lt;0,"Caducado",IF(K11&lt;=$C$6,"Caduca pronto","Vigente"))))</f>
        <v/>
      </c>
      <c r="M11" s="16">
        <f>IF(B11="","",IF(L11="Caduca pronto",H11,0))</f>
        <v/>
      </c>
    </row>
    <row r="12">
      <c r="B12" s="27" t="inlineStr">
        <is>
          <t>Aerolínea Sur</t>
        </is>
      </c>
      <c r="C12" s="28" t="inlineStr">
        <is>
          <t>Aerolínea</t>
        </is>
      </c>
      <c r="D12" s="29" t="n">
        <v>0.01</v>
      </c>
      <c r="E12" s="16">
        <f>IF(B12="","",SUMIFS(Movimientos!$F$7:$F$46,Movimientos!$C$7:$C$46,B12,Movimientos!$D$7:$D$46,"Acumulación"))</f>
        <v/>
      </c>
      <c r="F12" s="16">
        <f>IF(B12="","",SUMIFS(Movimientos!$F$7:$F$46,Movimientos!$C$7:$C$46,B12,Movimientos!$D$7:$D$46,"Canje"))</f>
        <v/>
      </c>
      <c r="G12" s="16">
        <f>IF(B12="","",SUMIFS(Movimientos!$F$7:$F$46,Movimientos!$C$7:$C$46,B12,Movimientos!$D$7:$D$46,"Caducidad"))</f>
        <v/>
      </c>
      <c r="H12" s="30">
        <f>IF(B12="","",E12-F12-G12)</f>
        <v/>
      </c>
      <c r="I12" s="17">
        <f>IF(B12="","",H12*N(D12))</f>
        <v/>
      </c>
      <c r="J12" s="24" t="n">
        <v>46568</v>
      </c>
      <c r="K12" s="18">
        <f>IF(OR(B12="",J12=""),"",J12-$C$5)</f>
        <v/>
      </c>
      <c r="L12" s="19">
        <f>IF(B12="","",IF(J12="","Sin caducidad",IF(K12&lt;0,"Caducado",IF(K12&lt;=$C$6,"Caduca pronto","Vigente"))))</f>
        <v/>
      </c>
      <c r="M12" s="16">
        <f>IF(B12="","",IF(L12="Caduca pronto",H12,0))</f>
        <v/>
      </c>
    </row>
    <row r="13">
      <c r="B13" s="27" t="inlineStr">
        <is>
          <t>Cadena Hotelera Centro</t>
        </is>
      </c>
      <c r="C13" s="28" t="inlineStr">
        <is>
          <t>Hotel</t>
        </is>
      </c>
      <c r="D13" s="29" t="n">
        <v>0.007</v>
      </c>
      <c r="E13" s="16">
        <f>IF(B13="","",SUMIFS(Movimientos!$F$7:$F$46,Movimientos!$C$7:$C$46,B13,Movimientos!$D$7:$D$46,"Acumulación"))</f>
        <v/>
      </c>
      <c r="F13" s="16">
        <f>IF(B13="","",SUMIFS(Movimientos!$F$7:$F$46,Movimientos!$C$7:$C$46,B13,Movimientos!$D$7:$D$46,"Canje"))</f>
        <v/>
      </c>
      <c r="G13" s="16">
        <f>IF(B13="","",SUMIFS(Movimientos!$F$7:$F$46,Movimientos!$C$7:$C$46,B13,Movimientos!$D$7:$D$46,"Caducidad"))</f>
        <v/>
      </c>
      <c r="H13" s="30">
        <f>IF(B13="","",E13-F13-G13)</f>
        <v/>
      </c>
      <c r="I13" s="17">
        <f>IF(B13="","",H13*N(D13))</f>
        <v/>
      </c>
      <c r="J13" s="24" t="n">
        <v>46356</v>
      </c>
      <c r="K13" s="18">
        <f>IF(OR(B13="",J13=""),"",J13-$C$5)</f>
        <v/>
      </c>
      <c r="L13" s="19">
        <f>IF(B13="","",IF(J13="","Sin caducidad",IF(K13&lt;0,"Caducado",IF(K13&lt;=$C$6,"Caduca pronto","Vigente"))))</f>
        <v/>
      </c>
      <c r="M13" s="16">
        <f>IF(B13="","",IF(L13="Caduca pronto",H13,0))</f>
        <v/>
      </c>
    </row>
    <row r="14">
      <c r="B14" s="27" t="inlineStr">
        <is>
          <t>Tarjeta Gasolina</t>
        </is>
      </c>
      <c r="C14" s="28" t="inlineStr">
        <is>
          <t>Tarjeta</t>
        </is>
      </c>
      <c r="D14" s="29" t="n">
        <v>0.005</v>
      </c>
      <c r="E14" s="16">
        <f>IF(B14="","",SUMIFS(Movimientos!$F$7:$F$46,Movimientos!$C$7:$C$46,B14,Movimientos!$D$7:$D$46,"Acumulación"))</f>
        <v/>
      </c>
      <c r="F14" s="16">
        <f>IF(B14="","",SUMIFS(Movimientos!$F$7:$F$46,Movimientos!$C$7:$C$46,B14,Movimientos!$D$7:$D$46,"Canje"))</f>
        <v/>
      </c>
      <c r="G14" s="16">
        <f>IF(B14="","",SUMIFS(Movimientos!$F$7:$F$46,Movimientos!$C$7:$C$46,B14,Movimientos!$D$7:$D$46,"Caducidad"))</f>
        <v/>
      </c>
      <c r="H14" s="30">
        <f>IF(B14="","",E14-F14-G14)</f>
        <v/>
      </c>
      <c r="I14" s="17">
        <f>IF(B14="","",H14*N(D14))</f>
        <v/>
      </c>
      <c r="J14" s="24" t="n"/>
      <c r="K14" s="18">
        <f>IF(OR(B14="",J14=""),"",J14-$C$5)</f>
        <v/>
      </c>
      <c r="L14" s="19">
        <f>IF(B14="","",IF(J14="","Sin caducidad",IF(K14&lt;0,"Caducado",IF(K14&lt;=$C$6,"Caduca pronto","Vigente"))))</f>
        <v/>
      </c>
      <c r="M14" s="16">
        <f>IF(B14="","",IF(L14="Caduca pronto",H14,0))</f>
        <v/>
      </c>
    </row>
    <row r="15">
      <c r="B15" s="27" t="inlineStr">
        <is>
          <t>Alquiler de Coches Ruta</t>
        </is>
      </c>
      <c r="C15" s="28" t="inlineStr">
        <is>
          <t>Otro</t>
        </is>
      </c>
      <c r="D15" s="29" t="n">
        <v>0.006</v>
      </c>
      <c r="E15" s="16">
        <f>IF(B15="","",SUMIFS(Movimientos!$F$7:$F$46,Movimientos!$C$7:$C$46,B15,Movimientos!$D$7:$D$46,"Acumulación"))</f>
        <v/>
      </c>
      <c r="F15" s="16">
        <f>IF(B15="","",SUMIFS(Movimientos!$F$7:$F$46,Movimientos!$C$7:$C$46,B15,Movimientos!$D$7:$D$46,"Canje"))</f>
        <v/>
      </c>
      <c r="G15" s="16">
        <f>IF(B15="","",SUMIFS(Movimientos!$F$7:$F$46,Movimientos!$C$7:$C$46,B15,Movimientos!$D$7:$D$46,"Caducidad"))</f>
        <v/>
      </c>
      <c r="H15" s="30">
        <f>IF(B15="","",E15-F15-G15)</f>
        <v/>
      </c>
      <c r="I15" s="17">
        <f>IF(B15="","",H15*N(D15))</f>
        <v/>
      </c>
      <c r="J15" s="24" t="n">
        <v>46407</v>
      </c>
      <c r="K15" s="18">
        <f>IF(OR(B15="",J15=""),"",J15-$C$5)</f>
        <v/>
      </c>
      <c r="L15" s="19">
        <f>IF(B15="","",IF(J15="","Sin caducidad",IF(K15&lt;0,"Caducado",IF(K15&lt;=$C$6,"Caduca pronto","Vigente"))))</f>
        <v/>
      </c>
      <c r="M15" s="16">
        <f>IF(B15="","",IF(L15="Caduca pronto",H15,0))</f>
        <v/>
      </c>
    </row>
    <row r="16">
      <c r="B16" s="27" t="n"/>
      <c r="C16" s="28" t="n"/>
      <c r="D16" s="29" t="n"/>
      <c r="E16" s="16">
        <f>IF(B16="","",SUMIFS(Movimientos!$F$7:$F$46,Movimientos!$C$7:$C$46,B16,Movimientos!$D$7:$D$46,"Acumulación"))</f>
        <v/>
      </c>
      <c r="F16" s="16">
        <f>IF(B16="","",SUMIFS(Movimientos!$F$7:$F$46,Movimientos!$C$7:$C$46,B16,Movimientos!$D$7:$D$46,"Canje"))</f>
        <v/>
      </c>
      <c r="G16" s="16">
        <f>IF(B16="","",SUMIFS(Movimientos!$F$7:$F$46,Movimientos!$C$7:$C$46,B16,Movimientos!$D$7:$D$46,"Caducidad"))</f>
        <v/>
      </c>
      <c r="H16" s="30">
        <f>IF(B16="","",E16-F16-G16)</f>
        <v/>
      </c>
      <c r="I16" s="17">
        <f>IF(B16="","",H16*N(D16))</f>
        <v/>
      </c>
      <c r="J16" s="24" t="n"/>
      <c r="K16" s="18">
        <f>IF(OR(B16="",J16=""),"",J16-$C$5)</f>
        <v/>
      </c>
      <c r="L16" s="19">
        <f>IF(B16="","",IF(J16="","Sin caducidad",IF(K16&lt;0,"Caducado",IF(K16&lt;=$C$6,"Caduca pronto","Vigente"))))</f>
        <v/>
      </c>
      <c r="M16" s="16">
        <f>IF(B16="","",IF(L16="Caduca pronto",H16,0))</f>
        <v/>
      </c>
    </row>
    <row r="17">
      <c r="B17" s="27" t="n"/>
      <c r="C17" s="28" t="n"/>
      <c r="D17" s="29" t="n"/>
      <c r="E17" s="16">
        <f>IF(B17="","",SUMIFS(Movimientos!$F$7:$F$46,Movimientos!$C$7:$C$46,B17,Movimientos!$D$7:$D$46,"Acumulación"))</f>
        <v/>
      </c>
      <c r="F17" s="16">
        <f>IF(B17="","",SUMIFS(Movimientos!$F$7:$F$46,Movimientos!$C$7:$C$46,B17,Movimientos!$D$7:$D$46,"Canje"))</f>
        <v/>
      </c>
      <c r="G17" s="16">
        <f>IF(B17="","",SUMIFS(Movimientos!$F$7:$F$46,Movimientos!$C$7:$C$46,B17,Movimientos!$D$7:$D$46,"Caducidad"))</f>
        <v/>
      </c>
      <c r="H17" s="30">
        <f>IF(B17="","",E17-F17-G17)</f>
        <v/>
      </c>
      <c r="I17" s="17">
        <f>IF(B17="","",H17*N(D17))</f>
        <v/>
      </c>
      <c r="J17" s="24" t="n"/>
      <c r="K17" s="18">
        <f>IF(OR(B17="",J17=""),"",J17-$C$5)</f>
        <v/>
      </c>
      <c r="L17" s="19">
        <f>IF(B17="","",IF(J17="","Sin caducidad",IF(K17&lt;0,"Caducado",IF(K17&lt;=$C$6,"Caduca pronto","Vigente"))))</f>
        <v/>
      </c>
      <c r="M17" s="16">
        <f>IF(B17="","",IF(L17="Caduca pronto",H17,0))</f>
        <v/>
      </c>
    </row>
    <row r="18">
      <c r="B18" s="27" t="n"/>
      <c r="C18" s="28" t="n"/>
      <c r="D18" s="29" t="n"/>
      <c r="E18" s="16">
        <f>IF(B18="","",SUMIFS(Movimientos!$F$7:$F$46,Movimientos!$C$7:$C$46,B18,Movimientos!$D$7:$D$46,"Acumulación"))</f>
        <v/>
      </c>
      <c r="F18" s="16">
        <f>IF(B18="","",SUMIFS(Movimientos!$F$7:$F$46,Movimientos!$C$7:$C$46,B18,Movimientos!$D$7:$D$46,"Canje"))</f>
        <v/>
      </c>
      <c r="G18" s="16">
        <f>IF(B18="","",SUMIFS(Movimientos!$F$7:$F$46,Movimientos!$C$7:$C$46,B18,Movimientos!$D$7:$D$46,"Caducidad"))</f>
        <v/>
      </c>
      <c r="H18" s="30">
        <f>IF(B18="","",E18-F18-G18)</f>
        <v/>
      </c>
      <c r="I18" s="17">
        <f>IF(B18="","",H18*N(D18))</f>
        <v/>
      </c>
      <c r="J18" s="24" t="n"/>
      <c r="K18" s="18">
        <f>IF(OR(B18="",J18=""),"",J18-$C$5)</f>
        <v/>
      </c>
      <c r="L18" s="19">
        <f>IF(B18="","",IF(J18="","Sin caducidad",IF(K18&lt;0,"Caducado",IF(K18&lt;=$C$6,"Caduca pronto","Vigente"))))</f>
        <v/>
      </c>
      <c r="M18" s="16">
        <f>IF(B18="","",IF(L18="Caduca pronto",H18,0))</f>
        <v/>
      </c>
    </row>
    <row r="19">
      <c r="B19" s="9" t="inlineStr">
        <is>
          <t>TOTAL</t>
        </is>
      </c>
      <c r="E19" s="21">
        <f>SUM(E9:E18)</f>
        <v/>
      </c>
      <c r="F19" s="21">
        <f>SUM(F9:F18)</f>
        <v/>
      </c>
      <c r="G19" s="21">
        <f>SUM(G9:G18)</f>
        <v/>
      </c>
      <c r="H19" s="21">
        <f>SUM(H9:H18)</f>
        <v/>
      </c>
      <c r="I19" s="22">
        <f>SUM(I9:I18)</f>
        <v/>
      </c>
      <c r="M19" s="21">
        <f>SUM(M9:M18)</f>
        <v/>
      </c>
    </row>
    <row r="21">
      <c r="B21" s="25" t="inlineStr">
        <is>
          <t>El valor por punto es una estimación tuya (lo que crees que vale un punto al canjearlo): cámbialo cuando quieras. Las celdas de acumulados, canjeados y saldo se calculan desde Movimientos.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9:D18">
    <cfRule type="expression" priority="1" dxfId="3">
      <formula>MOD(ROW(),2)=0</formula>
    </cfRule>
  </conditionalFormatting>
  <conditionalFormatting sqref="L9:L18">
    <cfRule type="cellIs" priority="2" operator="equal" dxfId="0">
      <formula>"Caducado"</formula>
    </cfRule>
    <cfRule type="cellIs" priority="3" operator="equal" dxfId="1">
      <formula>"Caduca pronto"</formula>
    </cfRule>
    <cfRule type="cellIs" priority="4" operator="equal" dxfId="2">
      <formula>"Vigente"</formula>
    </cfRule>
  </conditionalFormatting>
  <conditionalFormatting sqref="I9:I18">
    <cfRule type="dataBar" priority="5">
      <dataBar>
        <cfvo type="num" val="0"/>
        <cfvo type="max"/>
        <color rgb="0010B981"/>
      </dataBar>
    </cfRule>
  </conditionalFormatting>
  <dataValidations count="1">
    <dataValidation sqref="C9:C18" showDropDown="0" showInputMessage="0" showErrorMessage="0" allowBlank="1" type="list">
      <formula1>=Listas!$A$2:$A$5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5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6" customWidth="1" min="3" max="3"/>
    <col width="14" customWidth="1" min="4" max="4"/>
    <col width="34" customWidth="1" min="5" max="5"/>
    <col width="12" customWidth="1" min="6" max="6"/>
    <col width="16" customWidth="1" min="7" max="7"/>
    <col width="15" customWidth="1" min="8" max="8"/>
    <col width="20" customWidth="1" min="9" max="9"/>
  </cols>
  <sheetData>
    <row r="2" ht="34" customHeight="1">
      <c r="B2" s="1" t="inlineStr">
        <is>
          <t>Movimientos de puntos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Apunta cada acumulación, canje o caducidad. Los puntos siempre en positivo; el tipo decide si suman o restan</t>
        </is>
      </c>
    </row>
    <row r="6" ht="44" customHeight="1">
      <c r="B6" s="14" t="inlineStr">
        <is>
          <t>Fecha</t>
        </is>
      </c>
      <c r="C6" s="14" t="inlineStr">
        <is>
          <t>Programa</t>
        </is>
      </c>
      <c r="D6" s="14" t="inlineStr">
        <is>
          <t>Tipo</t>
        </is>
      </c>
      <c r="E6" s="14" t="inlineStr">
        <is>
          <t>Concepto</t>
        </is>
      </c>
      <c r="F6" s="14" t="inlineStr">
        <is>
          <t>Puntos</t>
        </is>
      </c>
      <c r="G6" s="14" t="inlineStr">
        <is>
          <t>Saldo del programa tras el movimiento</t>
        </is>
      </c>
      <c r="H6" s="14" t="inlineStr">
        <is>
          <t>Valor estimado (€)</t>
        </is>
      </c>
      <c r="I6" s="14" t="inlineStr">
        <is>
          <t>Aviso</t>
        </is>
      </c>
    </row>
    <row r="7">
      <c r="B7" s="24" t="n">
        <v>45971</v>
      </c>
      <c r="C7" s="27" t="inlineStr">
        <is>
          <t>Aerolínea Norte</t>
        </is>
      </c>
      <c r="D7" s="28" t="inlineStr">
        <is>
          <t>Acumulación</t>
        </is>
      </c>
      <c r="E7" s="27" t="inlineStr">
        <is>
          <t>Vuelo Madrid-Lisboa</t>
        </is>
      </c>
      <c r="F7" s="31" t="n">
        <v>2400</v>
      </c>
      <c r="G7" s="30">
        <f>IF(OR(C7="",D7="",N(F7)=0),"",SUMIFS($F$7:F7,$C$7:C7,C7,$D$7:D7,"Acumulación")-SUMIFS($F$7:F7,$C$7:C7,C7,$D$7:D7,"Canje")-SUMIFS($F$7:F7,$C$7:C7,C7,$D$7:D7,"Caducidad"))</f>
        <v/>
      </c>
      <c r="H7" s="32">
        <f>IF(OR(C7="",N(F7)=0),"",F7*IFERROR(VLOOKUP(C7,Programas!$B$9:$D$18,3,FALSE),0))</f>
        <v/>
      </c>
      <c r="I7" s="19">
        <f>IF(G7="","",IF(COUNTIF(Programas!$B$9:$B$18,C7)=0,"Programa no listado",IF(G7&lt;0,"Saldo negativo","OK")))</f>
        <v/>
      </c>
    </row>
    <row r="8">
      <c r="B8" s="24" t="n">
        <v>45993</v>
      </c>
      <c r="C8" s="27" t="inlineStr">
        <is>
          <t>Tarjeta Viajes</t>
        </is>
      </c>
      <c r="D8" s="28" t="inlineStr">
        <is>
          <t>Acumulación</t>
        </is>
      </c>
      <c r="E8" s="27" t="inlineStr">
        <is>
          <t>Compras de noviembre con la tarjeta</t>
        </is>
      </c>
      <c r="F8" s="31" t="n">
        <v>3150</v>
      </c>
      <c r="G8" s="30">
        <f>IF(OR(C8="",D8="",N(F8)=0),"",SUMIFS($F$7:F8,$C$7:C8,C8,$D$7:D8,"Acumulación")-SUMIFS($F$7:F8,$C$7:C8,C8,$D$7:D8,"Canje")-SUMIFS($F$7:F8,$C$7:C8,C8,$D$7:D8,"Caducidad"))</f>
        <v/>
      </c>
      <c r="H8" s="32">
        <f>IF(OR(C8="",N(F8)=0),"",F8*IFERROR(VLOOKUP(C8,Programas!$B$9:$D$18,3,FALSE),0))</f>
        <v/>
      </c>
      <c r="I8" s="19">
        <f>IF(G8="","",IF(COUNTIF(Programas!$B$9:$B$18,C8)=0,"Programa no listado",IF(G8&lt;0,"Saldo negativo","OK")))</f>
        <v/>
      </c>
    </row>
    <row r="9">
      <c r="B9" s="24" t="n">
        <v>46011</v>
      </c>
      <c r="C9" s="27" t="inlineStr">
        <is>
          <t>Hoteles Costa</t>
        </is>
      </c>
      <c r="D9" s="28" t="inlineStr">
        <is>
          <t>Acumulación</t>
        </is>
      </c>
      <c r="E9" s="27" t="inlineStr">
        <is>
          <t>Estancia de 5 noches</t>
        </is>
      </c>
      <c r="F9" s="31" t="n">
        <v>6200</v>
      </c>
      <c r="G9" s="30">
        <f>IF(OR(C9="",D9="",N(F9)=0),"",SUMIFS($F$7:F9,$C$7:C9,C9,$D$7:D9,"Acumulación")-SUMIFS($F$7:F9,$C$7:C9,C9,$D$7:D9,"Canje")-SUMIFS($F$7:F9,$C$7:C9,C9,$D$7:D9,"Caducidad"))</f>
        <v/>
      </c>
      <c r="H9" s="32">
        <f>IF(OR(C9="",N(F9)=0),"",F9*IFERROR(VLOOKUP(C9,Programas!$B$9:$D$18,3,FALSE),0))</f>
        <v/>
      </c>
      <c r="I9" s="19">
        <f>IF(G9="","",IF(COUNTIF(Programas!$B$9:$B$18,C9)=0,"Programa no listado",IF(G9&lt;0,"Saldo negativo","OK")))</f>
        <v/>
      </c>
    </row>
    <row r="10">
      <c r="B10" s="24" t="n">
        <v>46037</v>
      </c>
      <c r="C10" s="27" t="inlineStr">
        <is>
          <t>Aerolínea Sur</t>
        </is>
      </c>
      <c r="D10" s="28" t="inlineStr">
        <is>
          <t>Acumulación</t>
        </is>
      </c>
      <c r="E10" s="27" t="inlineStr">
        <is>
          <t>Vuelo a Roma</t>
        </is>
      </c>
      <c r="F10" s="31" t="n">
        <v>1800</v>
      </c>
      <c r="G10" s="30">
        <f>IF(OR(C10="",D10="",N(F10)=0),"",SUMIFS($F$7:F10,$C$7:C10,C10,$D$7:D10,"Acumulación")-SUMIFS($F$7:F10,$C$7:C10,C10,$D$7:D10,"Canje")-SUMIFS($F$7:F10,$C$7:C10,C10,$D$7:D10,"Caducidad"))</f>
        <v/>
      </c>
      <c r="H10" s="32">
        <f>IF(OR(C10="",N(F10)=0),"",F10*IFERROR(VLOOKUP(C10,Programas!$B$9:$D$18,3,FALSE),0))</f>
        <v/>
      </c>
      <c r="I10" s="19">
        <f>IF(G10="","",IF(COUNTIF(Programas!$B$9:$B$18,C10)=0,"Programa no listado",IF(G10&lt;0,"Saldo negativo","OK")))</f>
        <v/>
      </c>
    </row>
    <row r="11">
      <c r="B11" s="24" t="n">
        <v>46056</v>
      </c>
      <c r="C11" s="27" t="inlineStr">
        <is>
          <t>Tarjeta Gasolina</t>
        </is>
      </c>
      <c r="D11" s="28" t="inlineStr">
        <is>
          <t>Acumulación</t>
        </is>
      </c>
      <c r="E11" s="27" t="inlineStr">
        <is>
          <t>Repostajes de enero</t>
        </is>
      </c>
      <c r="F11" s="31" t="n">
        <v>950</v>
      </c>
      <c r="G11" s="30">
        <f>IF(OR(C11="",D11="",N(F11)=0),"",SUMIFS($F$7:F11,$C$7:C11,C11,$D$7:D11,"Acumulación")-SUMIFS($F$7:F11,$C$7:C11,C11,$D$7:D11,"Canje")-SUMIFS($F$7:F11,$C$7:C11,C11,$D$7:D11,"Caducidad"))</f>
        <v/>
      </c>
      <c r="H11" s="32">
        <f>IF(OR(C11="",N(F11)=0),"",F11*IFERROR(VLOOKUP(C11,Programas!$B$9:$D$18,3,FALSE),0))</f>
        <v/>
      </c>
      <c r="I11" s="19">
        <f>IF(G11="","",IF(COUNTIF(Programas!$B$9:$B$18,C11)=0,"Programa no listado",IF(G11&lt;0,"Saldo negativo","OK")))</f>
        <v/>
      </c>
    </row>
    <row r="12">
      <c r="B12" s="24" t="n">
        <v>46071</v>
      </c>
      <c r="C12" s="27" t="inlineStr">
        <is>
          <t>Cadena Hotelera Centro</t>
        </is>
      </c>
      <c r="D12" s="28" t="inlineStr">
        <is>
          <t>Acumulación</t>
        </is>
      </c>
      <c r="E12" s="27" t="inlineStr">
        <is>
          <t>Fin de semana en Sevilla</t>
        </is>
      </c>
      <c r="F12" s="31" t="n">
        <v>1600</v>
      </c>
      <c r="G12" s="30">
        <f>IF(OR(C12="",D12="",N(F12)=0),"",SUMIFS($F$7:F12,$C$7:C12,C12,$D$7:D12,"Acumulación")-SUMIFS($F$7:F12,$C$7:C12,C12,$D$7:D12,"Canje")-SUMIFS($F$7:F12,$C$7:C12,C12,$D$7:D12,"Caducidad"))</f>
        <v/>
      </c>
      <c r="H12" s="32">
        <f>IF(OR(C12="",N(F12)=0),"",F12*IFERROR(VLOOKUP(C12,Programas!$B$9:$D$18,3,FALSE),0))</f>
        <v/>
      </c>
      <c r="I12" s="19">
        <f>IF(G12="","",IF(COUNTIF(Programas!$B$9:$B$18,C12)=0,"Programa no listado",IF(G12&lt;0,"Saldo negativo","OK")))</f>
        <v/>
      </c>
    </row>
    <row r="13">
      <c r="B13" s="24" t="n">
        <v>46086</v>
      </c>
      <c r="C13" s="27" t="inlineStr">
        <is>
          <t>Aerolínea Norte</t>
        </is>
      </c>
      <c r="D13" s="28" t="inlineStr">
        <is>
          <t>Acumulación</t>
        </is>
      </c>
      <c r="E13" s="27" t="inlineStr">
        <is>
          <t>Vuelo Madrid-Londres</t>
        </is>
      </c>
      <c r="F13" s="31" t="n">
        <v>3100</v>
      </c>
      <c r="G13" s="30">
        <f>IF(OR(C13="",D13="",N(F13)=0),"",SUMIFS($F$7:F13,$C$7:C13,C13,$D$7:D13,"Acumulación")-SUMIFS($F$7:F13,$C$7:C13,C13,$D$7:D13,"Canje")-SUMIFS($F$7:F13,$C$7:C13,C13,$D$7:D13,"Caducidad"))</f>
        <v/>
      </c>
      <c r="H13" s="32">
        <f>IF(OR(C13="",N(F13)=0),"",F13*IFERROR(VLOOKUP(C13,Programas!$B$9:$D$18,3,FALSE),0))</f>
        <v/>
      </c>
      <c r="I13" s="19">
        <f>IF(G13="","",IF(COUNTIF(Programas!$B$9:$B$18,C13)=0,"Programa no listado",IF(G13&lt;0,"Saldo negativo","OK")))</f>
        <v/>
      </c>
    </row>
    <row r="14">
      <c r="B14" s="24" t="n">
        <v>46109</v>
      </c>
      <c r="C14" s="27" t="inlineStr">
        <is>
          <t>Tarjeta Viajes</t>
        </is>
      </c>
      <c r="D14" s="28" t="inlineStr">
        <is>
          <t>Acumulación</t>
        </is>
      </c>
      <c r="E14" s="27" t="inlineStr">
        <is>
          <t>Compras de febrero y marzo</t>
        </is>
      </c>
      <c r="F14" s="31" t="n">
        <v>4200</v>
      </c>
      <c r="G14" s="30">
        <f>IF(OR(C14="",D14="",N(F14)=0),"",SUMIFS($F$7:F14,$C$7:C14,C14,$D$7:D14,"Acumulación")-SUMIFS($F$7:F14,$C$7:C14,C14,$D$7:D14,"Canje")-SUMIFS($F$7:F14,$C$7:C14,C14,$D$7:D14,"Caducidad"))</f>
        <v/>
      </c>
      <c r="H14" s="32">
        <f>IF(OR(C14="",N(F14)=0),"",F14*IFERROR(VLOOKUP(C14,Programas!$B$9:$D$18,3,FALSE),0))</f>
        <v/>
      </c>
      <c r="I14" s="19">
        <f>IF(G14="","",IF(COUNTIF(Programas!$B$9:$B$18,C14)=0,"Programa no listado",IF(G14&lt;0,"Saldo negativo","OK")))</f>
        <v/>
      </c>
    </row>
    <row r="15">
      <c r="B15" s="24" t="n">
        <v>46122</v>
      </c>
      <c r="C15" s="27" t="inlineStr">
        <is>
          <t>Hoteles Costa</t>
        </is>
      </c>
      <c r="D15" s="28" t="inlineStr">
        <is>
          <t>Canje</t>
        </is>
      </c>
      <c r="E15" s="27" t="inlineStr">
        <is>
          <t>Noche gratis de hotel</t>
        </is>
      </c>
      <c r="F15" s="31" t="n">
        <v>2500</v>
      </c>
      <c r="G15" s="30">
        <f>IF(OR(C15="",D15="",N(F15)=0),"",SUMIFS($F$7:F15,$C$7:C15,C15,$D$7:D15,"Acumulación")-SUMIFS($F$7:F15,$C$7:C15,C15,$D$7:D15,"Canje")-SUMIFS($F$7:F15,$C$7:C15,C15,$D$7:D15,"Caducidad"))</f>
        <v/>
      </c>
      <c r="H15" s="32">
        <f>IF(OR(C15="",N(F15)=0),"",F15*IFERROR(VLOOKUP(C15,Programas!$B$9:$D$18,3,FALSE),0))</f>
        <v/>
      </c>
      <c r="I15" s="19">
        <f>IF(G15="","",IF(COUNTIF(Programas!$B$9:$B$18,C15)=0,"Programa no listado",IF(G15&lt;0,"Saldo negativo","OK")))</f>
        <v/>
      </c>
    </row>
    <row r="16">
      <c r="B16" s="24" t="n">
        <v>46154</v>
      </c>
      <c r="C16" s="27" t="inlineStr">
        <is>
          <t>Alquiler de Coches Ruta</t>
        </is>
      </c>
      <c r="D16" s="28" t="inlineStr">
        <is>
          <t>Acumulación</t>
        </is>
      </c>
      <c r="E16" s="27" t="inlineStr">
        <is>
          <t>Alquiler de 7 días</t>
        </is>
      </c>
      <c r="F16" s="31" t="n">
        <v>1400</v>
      </c>
      <c r="G16" s="30">
        <f>IF(OR(C16="",D16="",N(F16)=0),"",SUMIFS($F$7:F16,$C$7:C16,C16,$D$7:D16,"Acumulación")-SUMIFS($F$7:F16,$C$7:C16,C16,$D$7:D16,"Canje")-SUMIFS($F$7:F16,$C$7:C16,C16,$D$7:D16,"Caducidad"))</f>
        <v/>
      </c>
      <c r="H16" s="32">
        <f>IF(OR(C16="",N(F16)=0),"",F16*IFERROR(VLOOKUP(C16,Programas!$B$9:$D$18,3,FALSE),0))</f>
        <v/>
      </c>
      <c r="I16" s="19">
        <f>IF(G16="","",IF(COUNTIF(Programas!$B$9:$B$18,C16)=0,"Programa no listado",IF(G16&lt;0,"Saldo negativo","OK")))</f>
        <v/>
      </c>
    </row>
    <row r="17">
      <c r="B17" s="24" t="n">
        <v>46174</v>
      </c>
      <c r="C17" s="27" t="inlineStr">
        <is>
          <t>Aerolínea Sur</t>
        </is>
      </c>
      <c r="D17" s="28" t="inlineStr">
        <is>
          <t>Acumulación</t>
        </is>
      </c>
      <c r="E17" s="27" t="inlineStr">
        <is>
          <t>Vuelo a Atenas</t>
        </is>
      </c>
      <c r="F17" s="31" t="n">
        <v>2600</v>
      </c>
      <c r="G17" s="30">
        <f>IF(OR(C17="",D17="",N(F17)=0),"",SUMIFS($F$7:F17,$C$7:C17,C17,$D$7:D17,"Acumulación")-SUMIFS($F$7:F17,$C$7:C17,C17,$D$7:D17,"Canje")-SUMIFS($F$7:F17,$C$7:C17,C17,$D$7:D17,"Caducidad"))</f>
        <v/>
      </c>
      <c r="H17" s="32">
        <f>IF(OR(C17="",N(F17)=0),"",F17*IFERROR(VLOOKUP(C17,Programas!$B$9:$D$18,3,FALSE),0))</f>
        <v/>
      </c>
      <c r="I17" s="19">
        <f>IF(G17="","",IF(COUNTIF(Programas!$B$9:$B$18,C17)=0,"Programa no listado",IF(G17&lt;0,"Saldo negativo","OK")))</f>
        <v/>
      </c>
    </row>
    <row r="18">
      <c r="B18" s="24" t="n">
        <v>46193</v>
      </c>
      <c r="C18" s="27" t="inlineStr">
        <is>
          <t>Tarjeta Viajes</t>
        </is>
      </c>
      <c r="D18" s="28" t="inlineStr">
        <is>
          <t>Canje</t>
        </is>
      </c>
      <c r="E18" s="27" t="inlineStr">
        <is>
          <t>Canje por una noche de hotel</t>
        </is>
      </c>
      <c r="F18" s="31" t="n">
        <v>5000</v>
      </c>
      <c r="G18" s="30">
        <f>IF(OR(C18="",D18="",N(F18)=0),"",SUMIFS($F$7:F18,$C$7:C18,C18,$D$7:D18,"Acumulación")-SUMIFS($F$7:F18,$C$7:C18,C18,$D$7:D18,"Canje")-SUMIFS($F$7:F18,$C$7:C18,C18,$D$7:D18,"Caducidad"))</f>
        <v/>
      </c>
      <c r="H18" s="32">
        <f>IF(OR(C18="",N(F18)=0),"",F18*IFERROR(VLOOKUP(C18,Programas!$B$9:$D$18,3,FALSE),0))</f>
        <v/>
      </c>
      <c r="I18" s="19">
        <f>IF(G18="","",IF(COUNTIF(Programas!$B$9:$B$18,C18)=0,"Programa no listado",IF(G18&lt;0,"Saldo negativo","OK")))</f>
        <v/>
      </c>
    </row>
    <row r="19">
      <c r="B19" s="24" t="n">
        <v>46217</v>
      </c>
      <c r="C19" s="27" t="inlineStr">
        <is>
          <t>Tarjeta Gasolina</t>
        </is>
      </c>
      <c r="D19" s="28" t="inlineStr">
        <is>
          <t>Acumulación</t>
        </is>
      </c>
      <c r="E19" s="27" t="inlineStr">
        <is>
          <t>Repostajes de verano</t>
        </is>
      </c>
      <c r="F19" s="31" t="n">
        <v>1200</v>
      </c>
      <c r="G19" s="30">
        <f>IF(OR(C19="",D19="",N(F19)=0),"",SUMIFS($F$7:F19,$C$7:C19,C19,$D$7:D19,"Acumulación")-SUMIFS($F$7:F19,$C$7:C19,C19,$D$7:D19,"Canje")-SUMIFS($F$7:F19,$C$7:C19,C19,$D$7:D19,"Caducidad"))</f>
        <v/>
      </c>
      <c r="H19" s="32">
        <f>IF(OR(C19="",N(F19)=0),"",F19*IFERROR(VLOOKUP(C19,Programas!$B$9:$D$18,3,FALSE),0))</f>
        <v/>
      </c>
      <c r="I19" s="19">
        <f>IF(G19="","",IF(COUNTIF(Programas!$B$9:$B$18,C19)=0,"Programa no listado",IF(G19&lt;0,"Saldo negativo","OK")))</f>
        <v/>
      </c>
    </row>
    <row r="20">
      <c r="B20" s="24" t="n">
        <v>46236</v>
      </c>
      <c r="C20" s="27" t="inlineStr">
        <is>
          <t>Aerolínea Norte</t>
        </is>
      </c>
      <c r="D20" s="28" t="inlineStr">
        <is>
          <t>Acumulación</t>
        </is>
      </c>
      <c r="E20" s="27" t="inlineStr">
        <is>
          <t>Vuelo Madrid-Praga</t>
        </is>
      </c>
      <c r="F20" s="31" t="n">
        <v>2900</v>
      </c>
      <c r="G20" s="30">
        <f>IF(OR(C20="",D20="",N(F20)=0),"",SUMIFS($F$7:F20,$C$7:C20,C20,$D$7:D20,"Acumulación")-SUMIFS($F$7:F20,$C$7:C20,C20,$D$7:D20,"Canje")-SUMIFS($F$7:F20,$C$7:C20,C20,$D$7:D20,"Caducidad"))</f>
        <v/>
      </c>
      <c r="H20" s="32">
        <f>IF(OR(C20="",N(F20)=0),"",F20*IFERROR(VLOOKUP(C20,Programas!$B$9:$D$18,3,FALSE),0))</f>
        <v/>
      </c>
      <c r="I20" s="19">
        <f>IF(G20="","",IF(COUNTIF(Programas!$B$9:$B$18,C20)=0,"Programa no listado",IF(G20&lt;0,"Saldo negativo","OK")))</f>
        <v/>
      </c>
    </row>
    <row r="21">
      <c r="B21" s="24" t="n">
        <v>46259</v>
      </c>
      <c r="C21" s="27" t="inlineStr">
        <is>
          <t>Cadena Hotelera Centro</t>
        </is>
      </c>
      <c r="D21" s="28" t="inlineStr">
        <is>
          <t>Acumulación</t>
        </is>
      </c>
      <c r="E21" s="27" t="inlineStr">
        <is>
          <t>Estancia de 3 noches</t>
        </is>
      </c>
      <c r="F21" s="31" t="n">
        <v>2400</v>
      </c>
      <c r="G21" s="30">
        <f>IF(OR(C21="",D21="",N(F21)=0),"",SUMIFS($F$7:F21,$C$7:C21,C21,$D$7:D21,"Acumulación")-SUMIFS($F$7:F21,$C$7:C21,C21,$D$7:D21,"Canje")-SUMIFS($F$7:F21,$C$7:C21,C21,$D$7:D21,"Caducidad"))</f>
        <v/>
      </c>
      <c r="H21" s="32">
        <f>IF(OR(C21="",N(F21)=0),"",F21*IFERROR(VLOOKUP(C21,Programas!$B$9:$D$18,3,FALSE),0))</f>
        <v/>
      </c>
      <c r="I21" s="19">
        <f>IF(G21="","",IF(COUNTIF(Programas!$B$9:$B$18,C21)=0,"Programa no listado",IF(G21&lt;0,"Saldo negativo","OK")))</f>
        <v/>
      </c>
    </row>
    <row r="22">
      <c r="B22" s="24" t="n">
        <v>46275</v>
      </c>
      <c r="C22" s="27" t="inlineStr">
        <is>
          <t>Hoteles Costa</t>
        </is>
      </c>
      <c r="D22" s="28" t="inlineStr">
        <is>
          <t>Caducidad</t>
        </is>
      </c>
      <c r="E22" s="27" t="inlineStr">
        <is>
          <t>Puntos perdidos por caducidad</t>
        </is>
      </c>
      <c r="F22" s="31" t="n">
        <v>300</v>
      </c>
      <c r="G22" s="30">
        <f>IF(OR(C22="",D22="",N(F22)=0),"",SUMIFS($F$7:F22,$C$7:C22,C22,$D$7:D22,"Acumulación")-SUMIFS($F$7:F22,$C$7:C22,C22,$D$7:D22,"Canje")-SUMIFS($F$7:F22,$C$7:C22,C22,$D$7:D22,"Caducidad"))</f>
        <v/>
      </c>
      <c r="H22" s="32">
        <f>IF(OR(C22="",N(F22)=0),"",F22*IFERROR(VLOOKUP(C22,Programas!$B$9:$D$18,3,FALSE),0))</f>
        <v/>
      </c>
      <c r="I22" s="19">
        <f>IF(G22="","",IF(COUNTIF(Programas!$B$9:$B$18,C22)=0,"Programa no listado",IF(G22&lt;0,"Saldo negativo","OK")))</f>
        <v/>
      </c>
    </row>
    <row r="23">
      <c r="B23" s="24" t="n"/>
      <c r="C23" s="27" t="n"/>
      <c r="D23" s="28" t="n"/>
      <c r="E23" s="27" t="n"/>
      <c r="F23" s="31" t="n"/>
      <c r="G23" s="30">
        <f>IF(OR(C23="",D23="",N(F23)=0),"",SUMIFS($F$7:F23,$C$7:C23,C23,$D$7:D23,"Acumulación")-SUMIFS($F$7:F23,$C$7:C23,C23,$D$7:D23,"Canje")-SUMIFS($F$7:F23,$C$7:C23,C23,$D$7:D23,"Caducidad"))</f>
        <v/>
      </c>
      <c r="H23" s="32">
        <f>IF(OR(C23="",N(F23)=0),"",F23*IFERROR(VLOOKUP(C23,Programas!$B$9:$D$18,3,FALSE),0))</f>
        <v/>
      </c>
      <c r="I23" s="19">
        <f>IF(G23="","",IF(COUNTIF(Programas!$B$9:$B$18,C23)=0,"Programa no listado",IF(G23&lt;0,"Saldo negativo","OK")))</f>
        <v/>
      </c>
    </row>
    <row r="24">
      <c r="B24" s="24" t="n"/>
      <c r="C24" s="27" t="n"/>
      <c r="D24" s="28" t="n"/>
      <c r="E24" s="27" t="n"/>
      <c r="F24" s="31" t="n"/>
      <c r="G24" s="30">
        <f>IF(OR(C24="",D24="",N(F24)=0),"",SUMIFS($F$7:F24,$C$7:C24,C24,$D$7:D24,"Acumulación")-SUMIFS($F$7:F24,$C$7:C24,C24,$D$7:D24,"Canje")-SUMIFS($F$7:F24,$C$7:C24,C24,$D$7:D24,"Caducidad"))</f>
        <v/>
      </c>
      <c r="H24" s="32">
        <f>IF(OR(C24="",N(F24)=0),"",F24*IFERROR(VLOOKUP(C24,Programas!$B$9:$D$18,3,FALSE),0))</f>
        <v/>
      </c>
      <c r="I24" s="19">
        <f>IF(G24="","",IF(COUNTIF(Programas!$B$9:$B$18,C24)=0,"Programa no listado",IF(G24&lt;0,"Saldo negativo","OK")))</f>
        <v/>
      </c>
    </row>
    <row r="25">
      <c r="B25" s="24" t="n"/>
      <c r="C25" s="27" t="n"/>
      <c r="D25" s="28" t="n"/>
      <c r="E25" s="27" t="n"/>
      <c r="F25" s="31" t="n"/>
      <c r="G25" s="30">
        <f>IF(OR(C25="",D25="",N(F25)=0),"",SUMIFS($F$7:F25,$C$7:C25,C25,$D$7:D25,"Acumulación")-SUMIFS($F$7:F25,$C$7:C25,C25,$D$7:D25,"Canje")-SUMIFS($F$7:F25,$C$7:C25,C25,$D$7:D25,"Caducidad"))</f>
        <v/>
      </c>
      <c r="H25" s="32">
        <f>IF(OR(C25="",N(F25)=0),"",F25*IFERROR(VLOOKUP(C25,Programas!$B$9:$D$18,3,FALSE),0))</f>
        <v/>
      </c>
      <c r="I25" s="19">
        <f>IF(G25="","",IF(COUNTIF(Programas!$B$9:$B$18,C25)=0,"Programa no listado",IF(G25&lt;0,"Saldo negativo","OK")))</f>
        <v/>
      </c>
    </row>
    <row r="26">
      <c r="B26" s="24" t="n"/>
      <c r="C26" s="27" t="n"/>
      <c r="D26" s="28" t="n"/>
      <c r="E26" s="27" t="n"/>
      <c r="F26" s="31" t="n"/>
      <c r="G26" s="30">
        <f>IF(OR(C26="",D26="",N(F26)=0),"",SUMIFS($F$7:F26,$C$7:C26,C26,$D$7:D26,"Acumulación")-SUMIFS($F$7:F26,$C$7:C26,C26,$D$7:D26,"Canje")-SUMIFS($F$7:F26,$C$7:C26,C26,$D$7:D26,"Caducidad"))</f>
        <v/>
      </c>
      <c r="H26" s="32">
        <f>IF(OR(C26="",N(F26)=0),"",F26*IFERROR(VLOOKUP(C26,Programas!$B$9:$D$18,3,FALSE),0))</f>
        <v/>
      </c>
      <c r="I26" s="19">
        <f>IF(G26="","",IF(COUNTIF(Programas!$B$9:$B$18,C26)=0,"Programa no listado",IF(G26&lt;0,"Saldo negativo","OK")))</f>
        <v/>
      </c>
    </row>
    <row r="27">
      <c r="B27" s="24" t="n"/>
      <c r="C27" s="27" t="n"/>
      <c r="D27" s="28" t="n"/>
      <c r="E27" s="27" t="n"/>
      <c r="F27" s="31" t="n"/>
      <c r="G27" s="30">
        <f>IF(OR(C27="",D27="",N(F27)=0),"",SUMIFS($F$7:F27,$C$7:C27,C27,$D$7:D27,"Acumulación")-SUMIFS($F$7:F27,$C$7:C27,C27,$D$7:D27,"Canje")-SUMIFS($F$7:F27,$C$7:C27,C27,$D$7:D27,"Caducidad"))</f>
        <v/>
      </c>
      <c r="H27" s="32">
        <f>IF(OR(C27="",N(F27)=0),"",F27*IFERROR(VLOOKUP(C27,Programas!$B$9:$D$18,3,FALSE),0))</f>
        <v/>
      </c>
      <c r="I27" s="19">
        <f>IF(G27="","",IF(COUNTIF(Programas!$B$9:$B$18,C27)=0,"Programa no listado",IF(G27&lt;0,"Saldo negativo","OK")))</f>
        <v/>
      </c>
    </row>
    <row r="28">
      <c r="B28" s="24" t="n"/>
      <c r="C28" s="27" t="n"/>
      <c r="D28" s="28" t="n"/>
      <c r="E28" s="27" t="n"/>
      <c r="F28" s="31" t="n"/>
      <c r="G28" s="30">
        <f>IF(OR(C28="",D28="",N(F28)=0),"",SUMIFS($F$7:F28,$C$7:C28,C28,$D$7:D28,"Acumulación")-SUMIFS($F$7:F28,$C$7:C28,C28,$D$7:D28,"Canje")-SUMIFS($F$7:F28,$C$7:C28,C28,$D$7:D28,"Caducidad"))</f>
        <v/>
      </c>
      <c r="H28" s="32">
        <f>IF(OR(C28="",N(F28)=0),"",F28*IFERROR(VLOOKUP(C28,Programas!$B$9:$D$18,3,FALSE),0))</f>
        <v/>
      </c>
      <c r="I28" s="19">
        <f>IF(G28="","",IF(COUNTIF(Programas!$B$9:$B$18,C28)=0,"Programa no listado",IF(G28&lt;0,"Saldo negativo","OK")))</f>
        <v/>
      </c>
    </row>
    <row r="29">
      <c r="B29" s="24" t="n"/>
      <c r="C29" s="27" t="n"/>
      <c r="D29" s="28" t="n"/>
      <c r="E29" s="27" t="n"/>
      <c r="F29" s="31" t="n"/>
      <c r="G29" s="30">
        <f>IF(OR(C29="",D29="",N(F29)=0),"",SUMIFS($F$7:F29,$C$7:C29,C29,$D$7:D29,"Acumulación")-SUMIFS($F$7:F29,$C$7:C29,C29,$D$7:D29,"Canje")-SUMIFS($F$7:F29,$C$7:C29,C29,$D$7:D29,"Caducidad"))</f>
        <v/>
      </c>
      <c r="H29" s="32">
        <f>IF(OR(C29="",N(F29)=0),"",F29*IFERROR(VLOOKUP(C29,Programas!$B$9:$D$18,3,FALSE),0))</f>
        <v/>
      </c>
      <c r="I29" s="19">
        <f>IF(G29="","",IF(COUNTIF(Programas!$B$9:$B$18,C29)=0,"Programa no listado",IF(G29&lt;0,"Saldo negativo","OK")))</f>
        <v/>
      </c>
    </row>
    <row r="30">
      <c r="B30" s="24" t="n"/>
      <c r="C30" s="27" t="n"/>
      <c r="D30" s="28" t="n"/>
      <c r="E30" s="27" t="n"/>
      <c r="F30" s="31" t="n"/>
      <c r="G30" s="30">
        <f>IF(OR(C30="",D30="",N(F30)=0),"",SUMIFS($F$7:F30,$C$7:C30,C30,$D$7:D30,"Acumulación")-SUMIFS($F$7:F30,$C$7:C30,C30,$D$7:D30,"Canje")-SUMIFS($F$7:F30,$C$7:C30,C30,$D$7:D30,"Caducidad"))</f>
        <v/>
      </c>
      <c r="H30" s="32">
        <f>IF(OR(C30="",N(F30)=0),"",F30*IFERROR(VLOOKUP(C30,Programas!$B$9:$D$18,3,FALSE),0))</f>
        <v/>
      </c>
      <c r="I30" s="19">
        <f>IF(G30="","",IF(COUNTIF(Programas!$B$9:$B$18,C30)=0,"Programa no listado",IF(G30&lt;0,"Saldo negativo","OK")))</f>
        <v/>
      </c>
    </row>
    <row r="31">
      <c r="B31" s="24" t="n"/>
      <c r="C31" s="27" t="n"/>
      <c r="D31" s="28" t="n"/>
      <c r="E31" s="27" t="n"/>
      <c r="F31" s="31" t="n"/>
      <c r="G31" s="30">
        <f>IF(OR(C31="",D31="",N(F31)=0),"",SUMIFS($F$7:F31,$C$7:C31,C31,$D$7:D31,"Acumulación")-SUMIFS($F$7:F31,$C$7:C31,C31,$D$7:D31,"Canje")-SUMIFS($F$7:F31,$C$7:C31,C31,$D$7:D31,"Caducidad"))</f>
        <v/>
      </c>
      <c r="H31" s="32">
        <f>IF(OR(C31="",N(F31)=0),"",F31*IFERROR(VLOOKUP(C31,Programas!$B$9:$D$18,3,FALSE),0))</f>
        <v/>
      </c>
      <c r="I31" s="19">
        <f>IF(G31="","",IF(COUNTIF(Programas!$B$9:$B$18,C31)=0,"Programa no listado",IF(G31&lt;0,"Saldo negativo","OK")))</f>
        <v/>
      </c>
    </row>
    <row r="32">
      <c r="B32" s="24" t="n"/>
      <c r="C32" s="27" t="n"/>
      <c r="D32" s="28" t="n"/>
      <c r="E32" s="27" t="n"/>
      <c r="F32" s="31" t="n"/>
      <c r="G32" s="30">
        <f>IF(OR(C32="",D32="",N(F32)=0),"",SUMIFS($F$7:F32,$C$7:C32,C32,$D$7:D32,"Acumulación")-SUMIFS($F$7:F32,$C$7:C32,C32,$D$7:D32,"Canje")-SUMIFS($F$7:F32,$C$7:C32,C32,$D$7:D32,"Caducidad"))</f>
        <v/>
      </c>
      <c r="H32" s="32">
        <f>IF(OR(C32="",N(F32)=0),"",F32*IFERROR(VLOOKUP(C32,Programas!$B$9:$D$18,3,FALSE),0))</f>
        <v/>
      </c>
      <c r="I32" s="19">
        <f>IF(G32="","",IF(COUNTIF(Programas!$B$9:$B$18,C32)=0,"Programa no listado",IF(G32&lt;0,"Saldo negativo","OK")))</f>
        <v/>
      </c>
    </row>
    <row r="33">
      <c r="B33" s="24" t="n"/>
      <c r="C33" s="27" t="n"/>
      <c r="D33" s="28" t="n"/>
      <c r="E33" s="27" t="n"/>
      <c r="F33" s="31" t="n"/>
      <c r="G33" s="30">
        <f>IF(OR(C33="",D33="",N(F33)=0),"",SUMIFS($F$7:F33,$C$7:C33,C33,$D$7:D33,"Acumulación")-SUMIFS($F$7:F33,$C$7:C33,C33,$D$7:D33,"Canje")-SUMIFS($F$7:F33,$C$7:C33,C33,$D$7:D33,"Caducidad"))</f>
        <v/>
      </c>
      <c r="H33" s="32">
        <f>IF(OR(C33="",N(F33)=0),"",F33*IFERROR(VLOOKUP(C33,Programas!$B$9:$D$18,3,FALSE),0))</f>
        <v/>
      </c>
      <c r="I33" s="19">
        <f>IF(G33="","",IF(COUNTIF(Programas!$B$9:$B$18,C33)=0,"Programa no listado",IF(G33&lt;0,"Saldo negativo","OK")))</f>
        <v/>
      </c>
    </row>
    <row r="34">
      <c r="B34" s="24" t="n"/>
      <c r="C34" s="27" t="n"/>
      <c r="D34" s="28" t="n"/>
      <c r="E34" s="27" t="n"/>
      <c r="F34" s="31" t="n"/>
      <c r="G34" s="30">
        <f>IF(OR(C34="",D34="",N(F34)=0),"",SUMIFS($F$7:F34,$C$7:C34,C34,$D$7:D34,"Acumulación")-SUMIFS($F$7:F34,$C$7:C34,C34,$D$7:D34,"Canje")-SUMIFS($F$7:F34,$C$7:C34,C34,$D$7:D34,"Caducidad"))</f>
        <v/>
      </c>
      <c r="H34" s="32">
        <f>IF(OR(C34="",N(F34)=0),"",F34*IFERROR(VLOOKUP(C34,Programas!$B$9:$D$18,3,FALSE),0))</f>
        <v/>
      </c>
      <c r="I34" s="19">
        <f>IF(G34="","",IF(COUNTIF(Programas!$B$9:$B$18,C34)=0,"Programa no listado",IF(G34&lt;0,"Saldo negativo","OK")))</f>
        <v/>
      </c>
    </row>
    <row r="35">
      <c r="B35" s="24" t="n"/>
      <c r="C35" s="27" t="n"/>
      <c r="D35" s="28" t="n"/>
      <c r="E35" s="27" t="n"/>
      <c r="F35" s="31" t="n"/>
      <c r="G35" s="30">
        <f>IF(OR(C35="",D35="",N(F35)=0),"",SUMIFS($F$7:F35,$C$7:C35,C35,$D$7:D35,"Acumulación")-SUMIFS($F$7:F35,$C$7:C35,C35,$D$7:D35,"Canje")-SUMIFS($F$7:F35,$C$7:C35,C35,$D$7:D35,"Caducidad"))</f>
        <v/>
      </c>
      <c r="H35" s="32">
        <f>IF(OR(C35="",N(F35)=0),"",F35*IFERROR(VLOOKUP(C35,Programas!$B$9:$D$18,3,FALSE),0))</f>
        <v/>
      </c>
      <c r="I35" s="19">
        <f>IF(G35="","",IF(COUNTIF(Programas!$B$9:$B$18,C35)=0,"Programa no listado",IF(G35&lt;0,"Saldo negativo","OK")))</f>
        <v/>
      </c>
    </row>
    <row r="36">
      <c r="B36" s="24" t="n"/>
      <c r="C36" s="27" t="n"/>
      <c r="D36" s="28" t="n"/>
      <c r="E36" s="27" t="n"/>
      <c r="F36" s="31" t="n"/>
      <c r="G36" s="30">
        <f>IF(OR(C36="",D36="",N(F36)=0),"",SUMIFS($F$7:F36,$C$7:C36,C36,$D$7:D36,"Acumulación")-SUMIFS($F$7:F36,$C$7:C36,C36,$D$7:D36,"Canje")-SUMIFS($F$7:F36,$C$7:C36,C36,$D$7:D36,"Caducidad"))</f>
        <v/>
      </c>
      <c r="H36" s="32">
        <f>IF(OR(C36="",N(F36)=0),"",F36*IFERROR(VLOOKUP(C36,Programas!$B$9:$D$18,3,FALSE),0))</f>
        <v/>
      </c>
      <c r="I36" s="19">
        <f>IF(G36="","",IF(COUNTIF(Programas!$B$9:$B$18,C36)=0,"Programa no listado",IF(G36&lt;0,"Saldo negativo","OK")))</f>
        <v/>
      </c>
    </row>
    <row r="37">
      <c r="B37" s="24" t="n"/>
      <c r="C37" s="27" t="n"/>
      <c r="D37" s="28" t="n"/>
      <c r="E37" s="27" t="n"/>
      <c r="F37" s="31" t="n"/>
      <c r="G37" s="30">
        <f>IF(OR(C37="",D37="",N(F37)=0),"",SUMIFS($F$7:F37,$C$7:C37,C37,$D$7:D37,"Acumulación")-SUMIFS($F$7:F37,$C$7:C37,C37,$D$7:D37,"Canje")-SUMIFS($F$7:F37,$C$7:C37,C37,$D$7:D37,"Caducidad"))</f>
        <v/>
      </c>
      <c r="H37" s="32">
        <f>IF(OR(C37="",N(F37)=0),"",F37*IFERROR(VLOOKUP(C37,Programas!$B$9:$D$18,3,FALSE),0))</f>
        <v/>
      </c>
      <c r="I37" s="19">
        <f>IF(G37="","",IF(COUNTIF(Programas!$B$9:$B$18,C37)=0,"Programa no listado",IF(G37&lt;0,"Saldo negativo","OK")))</f>
        <v/>
      </c>
    </row>
    <row r="38">
      <c r="B38" s="24" t="n"/>
      <c r="C38" s="27" t="n"/>
      <c r="D38" s="28" t="n"/>
      <c r="E38" s="27" t="n"/>
      <c r="F38" s="31" t="n"/>
      <c r="G38" s="30">
        <f>IF(OR(C38="",D38="",N(F38)=0),"",SUMIFS($F$7:F38,$C$7:C38,C38,$D$7:D38,"Acumulación")-SUMIFS($F$7:F38,$C$7:C38,C38,$D$7:D38,"Canje")-SUMIFS($F$7:F38,$C$7:C38,C38,$D$7:D38,"Caducidad"))</f>
        <v/>
      </c>
      <c r="H38" s="32">
        <f>IF(OR(C38="",N(F38)=0),"",F38*IFERROR(VLOOKUP(C38,Programas!$B$9:$D$18,3,FALSE),0))</f>
        <v/>
      </c>
      <c r="I38" s="19">
        <f>IF(G38="","",IF(COUNTIF(Programas!$B$9:$B$18,C38)=0,"Programa no listado",IF(G38&lt;0,"Saldo negativo","OK")))</f>
        <v/>
      </c>
    </row>
    <row r="39">
      <c r="B39" s="24" t="n"/>
      <c r="C39" s="27" t="n"/>
      <c r="D39" s="28" t="n"/>
      <c r="E39" s="27" t="n"/>
      <c r="F39" s="31" t="n"/>
      <c r="G39" s="30">
        <f>IF(OR(C39="",D39="",N(F39)=0),"",SUMIFS($F$7:F39,$C$7:C39,C39,$D$7:D39,"Acumulación")-SUMIFS($F$7:F39,$C$7:C39,C39,$D$7:D39,"Canje")-SUMIFS($F$7:F39,$C$7:C39,C39,$D$7:D39,"Caducidad"))</f>
        <v/>
      </c>
      <c r="H39" s="32">
        <f>IF(OR(C39="",N(F39)=0),"",F39*IFERROR(VLOOKUP(C39,Programas!$B$9:$D$18,3,FALSE),0))</f>
        <v/>
      </c>
      <c r="I39" s="19">
        <f>IF(G39="","",IF(COUNTIF(Programas!$B$9:$B$18,C39)=0,"Programa no listado",IF(G39&lt;0,"Saldo negativo","OK")))</f>
        <v/>
      </c>
    </row>
    <row r="40">
      <c r="B40" s="24" t="n"/>
      <c r="C40" s="27" t="n"/>
      <c r="D40" s="28" t="n"/>
      <c r="E40" s="27" t="n"/>
      <c r="F40" s="31" t="n"/>
      <c r="G40" s="30">
        <f>IF(OR(C40="",D40="",N(F40)=0),"",SUMIFS($F$7:F40,$C$7:C40,C40,$D$7:D40,"Acumulación")-SUMIFS($F$7:F40,$C$7:C40,C40,$D$7:D40,"Canje")-SUMIFS($F$7:F40,$C$7:C40,C40,$D$7:D40,"Caducidad"))</f>
        <v/>
      </c>
      <c r="H40" s="32">
        <f>IF(OR(C40="",N(F40)=0),"",F40*IFERROR(VLOOKUP(C40,Programas!$B$9:$D$18,3,FALSE),0))</f>
        <v/>
      </c>
      <c r="I40" s="19">
        <f>IF(G40="","",IF(COUNTIF(Programas!$B$9:$B$18,C40)=0,"Programa no listado",IF(G40&lt;0,"Saldo negativo","OK")))</f>
        <v/>
      </c>
    </row>
    <row r="41">
      <c r="B41" s="24" t="n"/>
      <c r="C41" s="27" t="n"/>
      <c r="D41" s="28" t="n"/>
      <c r="E41" s="27" t="n"/>
      <c r="F41" s="31" t="n"/>
      <c r="G41" s="30">
        <f>IF(OR(C41="",D41="",N(F41)=0),"",SUMIFS($F$7:F41,$C$7:C41,C41,$D$7:D41,"Acumulación")-SUMIFS($F$7:F41,$C$7:C41,C41,$D$7:D41,"Canje")-SUMIFS($F$7:F41,$C$7:C41,C41,$D$7:D41,"Caducidad"))</f>
        <v/>
      </c>
      <c r="H41" s="32">
        <f>IF(OR(C41="",N(F41)=0),"",F41*IFERROR(VLOOKUP(C41,Programas!$B$9:$D$18,3,FALSE),0))</f>
        <v/>
      </c>
      <c r="I41" s="19">
        <f>IF(G41="","",IF(COUNTIF(Programas!$B$9:$B$18,C41)=0,"Programa no listado",IF(G41&lt;0,"Saldo negativo","OK")))</f>
        <v/>
      </c>
    </row>
    <row r="42">
      <c r="B42" s="24" t="n"/>
      <c r="C42" s="27" t="n"/>
      <c r="D42" s="28" t="n"/>
      <c r="E42" s="27" t="n"/>
      <c r="F42" s="31" t="n"/>
      <c r="G42" s="30">
        <f>IF(OR(C42="",D42="",N(F42)=0),"",SUMIFS($F$7:F42,$C$7:C42,C42,$D$7:D42,"Acumulación")-SUMIFS($F$7:F42,$C$7:C42,C42,$D$7:D42,"Canje")-SUMIFS($F$7:F42,$C$7:C42,C42,$D$7:D42,"Caducidad"))</f>
        <v/>
      </c>
      <c r="H42" s="32">
        <f>IF(OR(C42="",N(F42)=0),"",F42*IFERROR(VLOOKUP(C42,Programas!$B$9:$D$18,3,FALSE),0))</f>
        <v/>
      </c>
      <c r="I42" s="19">
        <f>IF(G42="","",IF(COUNTIF(Programas!$B$9:$B$18,C42)=0,"Programa no listado",IF(G42&lt;0,"Saldo negativo","OK")))</f>
        <v/>
      </c>
    </row>
    <row r="43">
      <c r="B43" s="24" t="n"/>
      <c r="C43" s="27" t="n"/>
      <c r="D43" s="28" t="n"/>
      <c r="E43" s="27" t="n"/>
      <c r="F43" s="31" t="n"/>
      <c r="G43" s="30">
        <f>IF(OR(C43="",D43="",N(F43)=0),"",SUMIFS($F$7:F43,$C$7:C43,C43,$D$7:D43,"Acumulación")-SUMIFS($F$7:F43,$C$7:C43,C43,$D$7:D43,"Canje")-SUMIFS($F$7:F43,$C$7:C43,C43,$D$7:D43,"Caducidad"))</f>
        <v/>
      </c>
      <c r="H43" s="32">
        <f>IF(OR(C43="",N(F43)=0),"",F43*IFERROR(VLOOKUP(C43,Programas!$B$9:$D$18,3,FALSE),0))</f>
        <v/>
      </c>
      <c r="I43" s="19">
        <f>IF(G43="","",IF(COUNTIF(Programas!$B$9:$B$18,C43)=0,"Programa no listado",IF(G43&lt;0,"Saldo negativo","OK")))</f>
        <v/>
      </c>
    </row>
    <row r="44">
      <c r="B44" s="24" t="n"/>
      <c r="C44" s="27" t="n"/>
      <c r="D44" s="28" t="n"/>
      <c r="E44" s="27" t="n"/>
      <c r="F44" s="31" t="n"/>
      <c r="G44" s="30">
        <f>IF(OR(C44="",D44="",N(F44)=0),"",SUMIFS($F$7:F44,$C$7:C44,C44,$D$7:D44,"Acumulación")-SUMIFS($F$7:F44,$C$7:C44,C44,$D$7:D44,"Canje")-SUMIFS($F$7:F44,$C$7:C44,C44,$D$7:D44,"Caducidad"))</f>
        <v/>
      </c>
      <c r="H44" s="32">
        <f>IF(OR(C44="",N(F44)=0),"",F44*IFERROR(VLOOKUP(C44,Programas!$B$9:$D$18,3,FALSE),0))</f>
        <v/>
      </c>
      <c r="I44" s="19">
        <f>IF(G44="","",IF(COUNTIF(Programas!$B$9:$B$18,C44)=0,"Programa no listado",IF(G44&lt;0,"Saldo negativo","OK")))</f>
        <v/>
      </c>
    </row>
    <row r="45">
      <c r="B45" s="24" t="n"/>
      <c r="C45" s="27" t="n"/>
      <c r="D45" s="28" t="n"/>
      <c r="E45" s="27" t="n"/>
      <c r="F45" s="31" t="n"/>
      <c r="G45" s="30">
        <f>IF(OR(C45="",D45="",N(F45)=0),"",SUMIFS($F$7:F45,$C$7:C45,C45,$D$7:D45,"Acumulación")-SUMIFS($F$7:F45,$C$7:C45,C45,$D$7:D45,"Canje")-SUMIFS($F$7:F45,$C$7:C45,C45,$D$7:D45,"Caducidad"))</f>
        <v/>
      </c>
      <c r="H45" s="32">
        <f>IF(OR(C45="",N(F45)=0),"",F45*IFERROR(VLOOKUP(C45,Programas!$B$9:$D$18,3,FALSE),0))</f>
        <v/>
      </c>
      <c r="I45" s="19">
        <f>IF(G45="","",IF(COUNTIF(Programas!$B$9:$B$18,C45)=0,"Programa no listado",IF(G45&lt;0,"Saldo negativo","OK")))</f>
        <v/>
      </c>
    </row>
    <row r="46">
      <c r="B46" s="24" t="n"/>
      <c r="C46" s="27" t="n"/>
      <c r="D46" s="28" t="n"/>
      <c r="E46" s="27" t="n"/>
      <c r="F46" s="31" t="n"/>
      <c r="G46" s="30">
        <f>IF(OR(C46="",D46="",N(F46)=0),"",SUMIFS($F$7:F46,$C$7:C46,C46,$D$7:D46,"Acumulación")-SUMIFS($F$7:F46,$C$7:C46,C46,$D$7:D46,"Canje")-SUMIFS($F$7:F46,$C$7:C46,C46,$D$7:D46,"Caducidad"))</f>
        <v/>
      </c>
      <c r="H46" s="32">
        <f>IF(OR(C46="",N(F46)=0),"",F46*IFERROR(VLOOKUP(C46,Programas!$B$9:$D$18,3,FALSE),0))</f>
        <v/>
      </c>
      <c r="I46" s="19">
        <f>IF(G46="","",IF(COUNTIF(Programas!$B$9:$B$18,C46)=0,"Programa no listado",IF(G46&lt;0,"Saldo negativo","OK")))</f>
        <v/>
      </c>
    </row>
    <row r="48">
      <c r="E48" s="9" t="inlineStr">
        <is>
          <t>Total acumulado</t>
        </is>
      </c>
      <c r="F48" s="21">
        <f>SUMIF(D7:D46,"Acumulación",F7:F46)</f>
        <v/>
      </c>
    </row>
    <row r="49">
      <c r="E49" s="9" t="inlineStr">
        <is>
          <t>Total canjeado</t>
        </is>
      </c>
      <c r="F49" s="21">
        <f>SUMIF(D7:D46,"Canje",F7:F46)</f>
        <v/>
      </c>
    </row>
    <row r="50">
      <c r="E50" s="9" t="inlineStr">
        <is>
          <t>Total caducado</t>
        </is>
      </c>
      <c r="F50" s="21">
        <f>SUMIF(D7:D46,"Caducidad",F7:F46)</f>
        <v/>
      </c>
    </row>
    <row r="52">
      <c r="B52" s="25" t="inlineStr">
        <is>
          <t>Anota los movimientos por orden de fecha para que la columna G (saldo tras el movimiento) sea correcta. El programa debe existir en la hoja Programas.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7:F46">
    <cfRule type="expression" priority="1" dxfId="3">
      <formula>MOD(ROW(),2)=0</formula>
    </cfRule>
  </conditionalFormatting>
  <conditionalFormatting sqref="D7:D46">
    <cfRule type="cellIs" priority="2" operator="equal" dxfId="1">
      <formula>"Canje"</formula>
    </cfRule>
    <cfRule type="cellIs" priority="3" operator="equal" dxfId="0">
      <formula>"Caducidad"</formula>
    </cfRule>
  </conditionalFormatting>
  <conditionalFormatting sqref="I7:I46">
    <cfRule type="cellIs" priority="4" operator="equal" dxfId="2">
      <formula>"OK"</formula>
    </cfRule>
    <cfRule type="cellIs" priority="5" operator="equal" dxfId="0">
      <formula>"Saldo negativo"</formula>
    </cfRule>
    <cfRule type="cellIs" priority="6" operator="equal" dxfId="0">
      <formula>"Programa no listado"</formula>
    </cfRule>
  </conditionalFormatting>
  <conditionalFormatting sqref="F7:F46">
    <cfRule type="dataBar" priority="7">
      <dataBar>
        <cfvo type="num" val="0"/>
        <cfvo type="max"/>
        <color rgb="0010B981"/>
      </dataBar>
    </cfRule>
  </conditionalFormatting>
  <dataValidations count="2">
    <dataValidation sqref="C7:C46" showDropDown="0" showInputMessage="0" showErrorMessage="0" allowBlank="1" type="list">
      <formula1>=Programas!$B$9:$B$18</formula1>
    </dataValidation>
    <dataValidation sqref="D7:D46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6EE7B7"/>
    <outlinePr summaryBelow="1" summaryRight="1"/>
    <pageSetUpPr fitToPage="1"/>
  </sheetPr>
  <dimension ref="B2:M21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26" customWidth="1" min="3" max="3"/>
    <col width="13" customWidth="1" min="4" max="4"/>
    <col width="13" customWidth="1" min="5" max="5"/>
    <col width="12" customWidth="1" min="6" max="6"/>
    <col width="12" customWidth="1" min="7" max="7"/>
    <col width="12" customWidth="1" min="8" max="8"/>
    <col width="11" customWidth="1" min="9" max="9"/>
    <col width="16" customWidth="1" min="10" max="10"/>
    <col width="14" customWidth="1" min="11" max="11"/>
    <col width="13" customWidth="1" min="12" max="12"/>
    <col width="16" customWidth="1" min="13" max="13"/>
  </cols>
  <sheetData>
    <row r="2" ht="34" customHeight="1">
      <c r="B2" s="1" t="inlineStr">
        <is>
          <t>Simulador de canje objetivo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Cuántos puntos te faltan para un canje y cuándo lo conseguirás a tu ritmo de acumulación</t>
        </is>
      </c>
    </row>
    <row r="6" ht="44" customHeight="1">
      <c r="B6" s="14" t="inlineStr">
        <is>
          <t>Canje objetivo</t>
        </is>
      </c>
      <c r="C6" s="14" t="inlineStr">
        <is>
          <t>Programa</t>
        </is>
      </c>
      <c r="D6" s="14" t="inlineStr">
        <is>
          <t>Puntos necesarios</t>
        </is>
      </c>
      <c r="E6" s="14" t="inlineStr">
        <is>
          <t>Ritmo (puntos al mes)</t>
        </is>
      </c>
      <c r="F6" s="14" t="inlineStr">
        <is>
          <t>Saldo actual</t>
        </is>
      </c>
      <c r="G6" s="14" t="inlineStr">
        <is>
          <t>Puntos que faltan</t>
        </is>
      </c>
      <c r="H6" s="14" t="inlineStr">
        <is>
          <t>% conseguido</t>
        </is>
      </c>
      <c r="I6" s="14" t="inlineStr">
        <is>
          <t>Meses necesarios</t>
        </is>
      </c>
      <c r="J6" s="14" t="inlineStr">
        <is>
          <t>Fecha estimada</t>
        </is>
      </c>
      <c r="K6" s="14" t="inlineStr">
        <is>
          <t>Valor del canje (€)</t>
        </is>
      </c>
      <c r="L6" s="14" t="inlineStr">
        <is>
          <t>Estado</t>
        </is>
      </c>
      <c r="M6" s="14" t="inlineStr">
        <is>
          <t>¿Llegas antes de caducar?</t>
        </is>
      </c>
    </row>
    <row r="7">
      <c r="B7" s="27" t="inlineStr">
        <is>
          <t>Vuelo de ida y vuelta a Praga</t>
        </is>
      </c>
      <c r="C7" s="27" t="inlineStr">
        <is>
          <t>Aerolínea Norte</t>
        </is>
      </c>
      <c r="D7" s="31" t="n">
        <v>15000</v>
      </c>
      <c r="E7" s="31" t="n">
        <v>700</v>
      </c>
      <c r="F7" s="16">
        <f>IF(C7="","",IFERROR(VLOOKUP(C7,Programas!$B$9:$H$18,7,FALSE),0))</f>
        <v/>
      </c>
      <c r="G7" s="30">
        <f>IF(OR(C7="",N(D7)=0),"",MAX(D7-F7,0))</f>
        <v/>
      </c>
      <c r="H7" s="20">
        <f>IF(G7="","",MIN(F7/D7,1))</f>
        <v/>
      </c>
      <c r="I7" s="18">
        <f>IF(G7="","",IF(G7=0,0,IF(N(E7)&gt;0,ROUNDUP(G7/E7,0),"")))</f>
        <v/>
      </c>
      <c r="J7" s="33">
        <f>IF(G7="","",IF(G7=0,"Ya disponible",IF(I7="","",EDATE(Programas!$C$5,I7))))</f>
        <v/>
      </c>
      <c r="K7" s="32">
        <f>IF(OR(C7="",N(D7)=0),"",D7*IFERROR(VLOOKUP(C7,Programas!$B$9:$D$18,3,FALSE),0))</f>
        <v/>
      </c>
      <c r="L7" s="19">
        <f>IF(G7="","",IF(G7=0,"Alcanzado",IF(I7="","Sin ritmo",IF(I7&lt;=3,"Cerca","En camino"))))</f>
        <v/>
      </c>
      <c r="M7" s="19">
        <f>IF(OR(G7="",G7=0,J7=""),"",IF(N(VLOOKUP(C7,Programas!$B$9:$J$18,9,FALSE))=0,"Sin caducidad",IF(J7&lt;=VLOOKUP(C7,Programas!$B$9:$J$18,9,FALSE),"A tiempo","Caduca antes")))</f>
        <v/>
      </c>
    </row>
    <row r="8">
      <c r="B8" s="27" t="inlineStr">
        <is>
          <t>Noche gratis en hotel de costa</t>
        </is>
      </c>
      <c r="C8" s="27" t="inlineStr">
        <is>
          <t>Hoteles Costa</t>
        </is>
      </c>
      <c r="D8" s="31" t="n">
        <v>5000</v>
      </c>
      <c r="E8" s="31" t="n">
        <v>400</v>
      </c>
      <c r="F8" s="16">
        <f>IF(C8="","",IFERROR(VLOOKUP(C8,Programas!$B$9:$H$18,7,FALSE),0))</f>
        <v/>
      </c>
      <c r="G8" s="30">
        <f>IF(OR(C8="",N(D8)=0),"",MAX(D8-F8,0))</f>
        <v/>
      </c>
      <c r="H8" s="20">
        <f>IF(G8="","",MIN(F8/D8,1))</f>
        <v/>
      </c>
      <c r="I8" s="18">
        <f>IF(G8="","",IF(G8=0,0,IF(N(E8)&gt;0,ROUNDUP(G8/E8,0),"")))</f>
        <v/>
      </c>
      <c r="J8" s="33">
        <f>IF(G8="","",IF(G8=0,"Ya disponible",IF(I8="","",EDATE(Programas!$C$5,I8))))</f>
        <v/>
      </c>
      <c r="K8" s="32">
        <f>IF(OR(C8="",N(D8)=0),"",D8*IFERROR(VLOOKUP(C8,Programas!$B$9:$D$18,3,FALSE),0))</f>
        <v/>
      </c>
      <c r="L8" s="19">
        <f>IF(G8="","",IF(G8=0,"Alcanzado",IF(I8="","Sin ritmo",IF(I8&lt;=3,"Cerca","En camino"))))</f>
        <v/>
      </c>
      <c r="M8" s="19">
        <f>IF(OR(G8="",G8=0,J8=""),"",IF(N(VLOOKUP(C8,Programas!$B$9:$J$18,9,FALSE))=0,"Sin caducidad",IF(J8&lt;=VLOOKUP(C8,Programas!$B$9:$J$18,9,FALSE),"A tiempo","Caduca antes")))</f>
        <v/>
      </c>
    </row>
    <row r="9">
      <c r="B9" s="27" t="inlineStr">
        <is>
          <t>Noche en hotel del centro</t>
        </is>
      </c>
      <c r="C9" s="27" t="inlineStr">
        <is>
          <t>Cadena Hotelera Centro</t>
        </is>
      </c>
      <c r="D9" s="31" t="n">
        <v>4000</v>
      </c>
      <c r="E9" s="31" t="n">
        <v>300</v>
      </c>
      <c r="F9" s="16">
        <f>IF(C9="","",IFERROR(VLOOKUP(C9,Programas!$B$9:$H$18,7,FALSE),0))</f>
        <v/>
      </c>
      <c r="G9" s="30">
        <f>IF(OR(C9="",N(D9)=0),"",MAX(D9-F9,0))</f>
        <v/>
      </c>
      <c r="H9" s="20">
        <f>IF(G9="","",MIN(F9/D9,1))</f>
        <v/>
      </c>
      <c r="I9" s="18">
        <f>IF(G9="","",IF(G9=0,0,IF(N(E9)&gt;0,ROUNDUP(G9/E9,0),"")))</f>
        <v/>
      </c>
      <c r="J9" s="33">
        <f>IF(G9="","",IF(G9=0,"Ya disponible",IF(I9="","",EDATE(Programas!$C$5,I9))))</f>
        <v/>
      </c>
      <c r="K9" s="32">
        <f>IF(OR(C9="",N(D9)=0),"",D9*IFERROR(VLOOKUP(C9,Programas!$B$9:$D$18,3,FALSE),0))</f>
        <v/>
      </c>
      <c r="L9" s="19">
        <f>IF(G9="","",IF(G9=0,"Alcanzado",IF(I9="","Sin ritmo",IF(I9&lt;=3,"Cerca","En camino"))))</f>
        <v/>
      </c>
      <c r="M9" s="19">
        <f>IF(OR(G9="",G9=0,J9=""),"",IF(N(VLOOKUP(C9,Programas!$B$9:$J$18,9,FALSE))=0,"Sin caducidad",IF(J9&lt;=VLOOKUP(C9,Programas!$B$9:$J$18,9,FALSE),"A tiempo","Caduca antes")))</f>
        <v/>
      </c>
    </row>
    <row r="10">
      <c r="B10" s="27" t="inlineStr">
        <is>
          <t>Vuelo corto a Roma</t>
        </is>
      </c>
      <c r="C10" s="27" t="inlineStr">
        <is>
          <t>Aerolínea Sur</t>
        </is>
      </c>
      <c r="D10" s="31" t="n">
        <v>7500</v>
      </c>
      <c r="E10" s="31" t="n">
        <v>500</v>
      </c>
      <c r="F10" s="16">
        <f>IF(C10="","",IFERROR(VLOOKUP(C10,Programas!$B$9:$H$18,7,FALSE),0))</f>
        <v/>
      </c>
      <c r="G10" s="30">
        <f>IF(OR(C10="",N(D10)=0),"",MAX(D10-F10,0))</f>
        <v/>
      </c>
      <c r="H10" s="20">
        <f>IF(G10="","",MIN(F10/D10,1))</f>
        <v/>
      </c>
      <c r="I10" s="18">
        <f>IF(G10="","",IF(G10=0,0,IF(N(E10)&gt;0,ROUNDUP(G10/E10,0),"")))</f>
        <v/>
      </c>
      <c r="J10" s="33">
        <f>IF(G10="","",IF(G10=0,"Ya disponible",IF(I10="","",EDATE(Programas!$C$5,I10))))</f>
        <v/>
      </c>
      <c r="K10" s="32">
        <f>IF(OR(C10="",N(D10)=0),"",D10*IFERROR(VLOOKUP(C10,Programas!$B$9:$D$18,3,FALSE),0))</f>
        <v/>
      </c>
      <c r="L10" s="19">
        <f>IF(G10="","",IF(G10=0,"Alcanzado",IF(I10="","Sin ritmo",IF(I10&lt;=3,"Cerca","En camino"))))</f>
        <v/>
      </c>
      <c r="M10" s="19">
        <f>IF(OR(G10="",G10=0,J10=""),"",IF(N(VLOOKUP(C10,Programas!$B$9:$J$18,9,FALSE))=0,"Sin caducidad",IF(J10&lt;=VLOOKUP(C10,Programas!$B$9:$J$18,9,FALSE),"A tiempo","Caduca antes")))</f>
        <v/>
      </c>
    </row>
    <row r="11">
      <c r="B11" s="27" t="inlineStr">
        <is>
          <t>Alquiler de coche un fin de semana</t>
        </is>
      </c>
      <c r="C11" s="27" t="inlineStr">
        <is>
          <t>Alquiler de Coches Ruta</t>
        </is>
      </c>
      <c r="D11" s="31" t="n">
        <v>2000</v>
      </c>
      <c r="E11" s="31" t="n">
        <v>200</v>
      </c>
      <c r="F11" s="16">
        <f>IF(C11="","",IFERROR(VLOOKUP(C11,Programas!$B$9:$H$18,7,FALSE),0))</f>
        <v/>
      </c>
      <c r="G11" s="30">
        <f>IF(OR(C11="",N(D11)=0),"",MAX(D11-F11,0))</f>
        <v/>
      </c>
      <c r="H11" s="20">
        <f>IF(G11="","",MIN(F11/D11,1))</f>
        <v/>
      </c>
      <c r="I11" s="18">
        <f>IF(G11="","",IF(G11=0,0,IF(N(E11)&gt;0,ROUNDUP(G11/E11,0),"")))</f>
        <v/>
      </c>
      <c r="J11" s="33">
        <f>IF(G11="","",IF(G11=0,"Ya disponible",IF(I11="","",EDATE(Programas!$C$5,I11))))</f>
        <v/>
      </c>
      <c r="K11" s="32">
        <f>IF(OR(C11="",N(D11)=0),"",D11*IFERROR(VLOOKUP(C11,Programas!$B$9:$D$18,3,FALSE),0))</f>
        <v/>
      </c>
      <c r="L11" s="19">
        <f>IF(G11="","",IF(G11=0,"Alcanzado",IF(I11="","Sin ritmo",IF(I11&lt;=3,"Cerca","En camino"))))</f>
        <v/>
      </c>
      <c r="M11" s="19">
        <f>IF(OR(G11="",G11=0,J11=""),"",IF(N(VLOOKUP(C11,Programas!$B$9:$J$18,9,FALSE))=0,"Sin caducidad",IF(J11&lt;=VLOOKUP(C11,Programas!$B$9:$J$18,9,FALSE),"A tiempo","Caduca antes")))</f>
        <v/>
      </c>
    </row>
    <row r="12">
      <c r="B12" s="27" t="inlineStr">
        <is>
          <t>Descuento en carburante</t>
        </is>
      </c>
      <c r="C12" s="27" t="inlineStr">
        <is>
          <t>Tarjeta Gasolina</t>
        </is>
      </c>
      <c r="D12" s="31" t="n">
        <v>3000</v>
      </c>
      <c r="E12" s="31" t="n">
        <v>0</v>
      </c>
      <c r="F12" s="16">
        <f>IF(C12="","",IFERROR(VLOOKUP(C12,Programas!$B$9:$H$18,7,FALSE),0))</f>
        <v/>
      </c>
      <c r="G12" s="30">
        <f>IF(OR(C12="",N(D12)=0),"",MAX(D12-F12,0))</f>
        <v/>
      </c>
      <c r="H12" s="20">
        <f>IF(G12="","",MIN(F12/D12,1))</f>
        <v/>
      </c>
      <c r="I12" s="18">
        <f>IF(G12="","",IF(G12=0,0,IF(N(E12)&gt;0,ROUNDUP(G12/E12,0),"")))</f>
        <v/>
      </c>
      <c r="J12" s="33">
        <f>IF(G12="","",IF(G12=0,"Ya disponible",IF(I12="","",EDATE(Programas!$C$5,I12))))</f>
        <v/>
      </c>
      <c r="K12" s="32">
        <f>IF(OR(C12="",N(D12)=0),"",D12*IFERROR(VLOOKUP(C12,Programas!$B$9:$D$18,3,FALSE),0))</f>
        <v/>
      </c>
      <c r="L12" s="19">
        <f>IF(G12="","",IF(G12=0,"Alcanzado",IF(I12="","Sin ritmo",IF(I12&lt;=3,"Cerca","En camino"))))</f>
        <v/>
      </c>
      <c r="M12" s="19">
        <f>IF(OR(G12="",G12=0,J12=""),"",IF(N(VLOOKUP(C12,Programas!$B$9:$J$18,9,FALSE))=0,"Sin caducidad",IF(J12&lt;=VLOOKUP(C12,Programas!$B$9:$J$18,9,FALSE),"A tiempo","Caduca antes")))</f>
        <v/>
      </c>
    </row>
    <row r="13">
      <c r="B13" s="27" t="n"/>
      <c r="C13" s="27" t="n"/>
      <c r="D13" s="31" t="n"/>
      <c r="E13" s="31" t="n"/>
      <c r="F13" s="16">
        <f>IF(C13="","",IFERROR(VLOOKUP(C13,Programas!$B$9:$H$18,7,FALSE),0))</f>
        <v/>
      </c>
      <c r="G13" s="30">
        <f>IF(OR(C13="",N(D13)=0),"",MAX(D13-F13,0))</f>
        <v/>
      </c>
      <c r="H13" s="20">
        <f>IF(G13="","",MIN(F13/D13,1))</f>
        <v/>
      </c>
      <c r="I13" s="18">
        <f>IF(G13="","",IF(G13=0,0,IF(N(E13)&gt;0,ROUNDUP(G13/E13,0),"")))</f>
        <v/>
      </c>
      <c r="J13" s="33">
        <f>IF(G13="","",IF(G13=0,"Ya disponible",IF(I13="","",EDATE(Programas!$C$5,I13))))</f>
        <v/>
      </c>
      <c r="K13" s="32">
        <f>IF(OR(C13="",N(D13)=0),"",D13*IFERROR(VLOOKUP(C13,Programas!$B$9:$D$18,3,FALSE),0))</f>
        <v/>
      </c>
      <c r="L13" s="19">
        <f>IF(G13="","",IF(G13=0,"Alcanzado",IF(I13="","Sin ritmo",IF(I13&lt;=3,"Cerca","En camino"))))</f>
        <v/>
      </c>
      <c r="M13" s="19">
        <f>IF(OR(G13="",G13=0,J13=""),"",IF(N(VLOOKUP(C13,Programas!$B$9:$J$18,9,FALSE))=0,"Sin caducidad",IF(J13&lt;=VLOOKUP(C13,Programas!$B$9:$J$18,9,FALSE),"A tiempo","Caduca antes")))</f>
        <v/>
      </c>
    </row>
    <row r="14">
      <c r="B14" s="27" t="n"/>
      <c r="C14" s="27" t="n"/>
      <c r="D14" s="31" t="n"/>
      <c r="E14" s="31" t="n"/>
      <c r="F14" s="16">
        <f>IF(C14="","",IFERROR(VLOOKUP(C14,Programas!$B$9:$H$18,7,FALSE),0))</f>
        <v/>
      </c>
      <c r="G14" s="30">
        <f>IF(OR(C14="",N(D14)=0),"",MAX(D14-F14,0))</f>
        <v/>
      </c>
      <c r="H14" s="20">
        <f>IF(G14="","",MIN(F14/D14,1))</f>
        <v/>
      </c>
      <c r="I14" s="18">
        <f>IF(G14="","",IF(G14=0,0,IF(N(E14)&gt;0,ROUNDUP(G14/E14,0),"")))</f>
        <v/>
      </c>
      <c r="J14" s="33">
        <f>IF(G14="","",IF(G14=0,"Ya disponible",IF(I14="","",EDATE(Programas!$C$5,I14))))</f>
        <v/>
      </c>
      <c r="K14" s="32">
        <f>IF(OR(C14="",N(D14)=0),"",D14*IFERROR(VLOOKUP(C14,Programas!$B$9:$D$18,3,FALSE),0))</f>
        <v/>
      </c>
      <c r="L14" s="19">
        <f>IF(G14="","",IF(G14=0,"Alcanzado",IF(I14="","Sin ritmo",IF(I14&lt;=3,"Cerca","En camino"))))</f>
        <v/>
      </c>
      <c r="M14" s="19">
        <f>IF(OR(G14="",G14=0,J14=""),"",IF(N(VLOOKUP(C14,Programas!$B$9:$J$18,9,FALSE))=0,"Sin caducidad",IF(J14&lt;=VLOOKUP(C14,Programas!$B$9:$J$18,9,FALSE),"A tiempo","Caduca antes")))</f>
        <v/>
      </c>
    </row>
    <row r="15">
      <c r="B15" s="27" t="n"/>
      <c r="C15" s="27" t="n"/>
      <c r="D15" s="31" t="n"/>
      <c r="E15" s="31" t="n"/>
      <c r="F15" s="16">
        <f>IF(C15="","",IFERROR(VLOOKUP(C15,Programas!$B$9:$H$18,7,FALSE),0))</f>
        <v/>
      </c>
      <c r="G15" s="30">
        <f>IF(OR(C15="",N(D15)=0),"",MAX(D15-F15,0))</f>
        <v/>
      </c>
      <c r="H15" s="20">
        <f>IF(G15="","",MIN(F15/D15,1))</f>
        <v/>
      </c>
      <c r="I15" s="18">
        <f>IF(G15="","",IF(G15=0,0,IF(N(E15)&gt;0,ROUNDUP(G15/E15,0),"")))</f>
        <v/>
      </c>
      <c r="J15" s="33">
        <f>IF(G15="","",IF(G15=0,"Ya disponible",IF(I15="","",EDATE(Programas!$C$5,I15))))</f>
        <v/>
      </c>
      <c r="K15" s="32">
        <f>IF(OR(C15="",N(D15)=0),"",D15*IFERROR(VLOOKUP(C15,Programas!$B$9:$D$18,3,FALSE),0))</f>
        <v/>
      </c>
      <c r="L15" s="19">
        <f>IF(G15="","",IF(G15=0,"Alcanzado",IF(I15="","Sin ritmo",IF(I15&lt;=3,"Cerca","En camino"))))</f>
        <v/>
      </c>
      <c r="M15" s="19">
        <f>IF(OR(G15="",G15=0,J15=""),"",IF(N(VLOOKUP(C15,Programas!$B$9:$J$18,9,FALSE))=0,"Sin caducidad",IF(J15&lt;=VLOOKUP(C15,Programas!$B$9:$J$18,9,FALSE),"A tiempo","Caduca antes")))</f>
        <v/>
      </c>
    </row>
    <row r="16">
      <c r="B16" s="27" t="n"/>
      <c r="C16" s="27" t="n"/>
      <c r="D16" s="31" t="n"/>
      <c r="E16" s="31" t="n"/>
      <c r="F16" s="16">
        <f>IF(C16="","",IFERROR(VLOOKUP(C16,Programas!$B$9:$H$18,7,FALSE),0))</f>
        <v/>
      </c>
      <c r="G16" s="30">
        <f>IF(OR(C16="",N(D16)=0),"",MAX(D16-F16,0))</f>
        <v/>
      </c>
      <c r="H16" s="20">
        <f>IF(G16="","",MIN(F16/D16,1))</f>
        <v/>
      </c>
      <c r="I16" s="18">
        <f>IF(G16="","",IF(G16=0,0,IF(N(E16)&gt;0,ROUNDUP(G16/E16,0),"")))</f>
        <v/>
      </c>
      <c r="J16" s="33">
        <f>IF(G16="","",IF(G16=0,"Ya disponible",IF(I16="","",EDATE(Programas!$C$5,I16))))</f>
        <v/>
      </c>
      <c r="K16" s="32">
        <f>IF(OR(C16="",N(D16)=0),"",D16*IFERROR(VLOOKUP(C16,Programas!$B$9:$D$18,3,FALSE),0))</f>
        <v/>
      </c>
      <c r="L16" s="19">
        <f>IF(G16="","",IF(G16=0,"Alcanzado",IF(I16="","Sin ritmo",IF(I16&lt;=3,"Cerca","En camino"))))</f>
        <v/>
      </c>
      <c r="M16" s="19">
        <f>IF(OR(G16="",G16=0,J16=""),"",IF(N(VLOOKUP(C16,Programas!$B$9:$J$18,9,FALSE))=0,"Sin caducidad",IF(J16&lt;=VLOOKUP(C16,Programas!$B$9:$J$18,9,FALSE),"A tiempo","Caduca antes")))</f>
        <v/>
      </c>
    </row>
    <row r="17">
      <c r="B17" s="27" t="n"/>
      <c r="C17" s="27" t="n"/>
      <c r="D17" s="31" t="n"/>
      <c r="E17" s="31" t="n"/>
      <c r="F17" s="16">
        <f>IF(C17="","",IFERROR(VLOOKUP(C17,Programas!$B$9:$H$18,7,FALSE),0))</f>
        <v/>
      </c>
      <c r="G17" s="30">
        <f>IF(OR(C17="",N(D17)=0),"",MAX(D17-F17,0))</f>
        <v/>
      </c>
      <c r="H17" s="20">
        <f>IF(G17="","",MIN(F17/D17,1))</f>
        <v/>
      </c>
      <c r="I17" s="18">
        <f>IF(G17="","",IF(G17=0,0,IF(N(E17)&gt;0,ROUNDUP(G17/E17,0),"")))</f>
        <v/>
      </c>
      <c r="J17" s="33">
        <f>IF(G17="","",IF(G17=0,"Ya disponible",IF(I17="","",EDATE(Programas!$C$5,I17))))</f>
        <v/>
      </c>
      <c r="K17" s="32">
        <f>IF(OR(C17="",N(D17)=0),"",D17*IFERROR(VLOOKUP(C17,Programas!$B$9:$D$18,3,FALSE),0))</f>
        <v/>
      </c>
      <c r="L17" s="19">
        <f>IF(G17="","",IF(G17=0,"Alcanzado",IF(I17="","Sin ritmo",IF(I17&lt;=3,"Cerca","En camino"))))</f>
        <v/>
      </c>
      <c r="M17" s="19">
        <f>IF(OR(G17="",G17=0,J17=""),"",IF(N(VLOOKUP(C17,Programas!$B$9:$J$18,9,FALSE))=0,"Sin caducidad",IF(J17&lt;=VLOOKUP(C17,Programas!$B$9:$J$18,9,FALSE),"A tiempo","Caduca antes")))</f>
        <v/>
      </c>
    </row>
    <row r="18">
      <c r="B18" s="27" t="n"/>
      <c r="C18" s="27" t="n"/>
      <c r="D18" s="31" t="n"/>
      <c r="E18" s="31" t="n"/>
      <c r="F18" s="16">
        <f>IF(C18="","",IFERROR(VLOOKUP(C18,Programas!$B$9:$H$18,7,FALSE),0))</f>
        <v/>
      </c>
      <c r="G18" s="30">
        <f>IF(OR(C18="",N(D18)=0),"",MAX(D18-F18,0))</f>
        <v/>
      </c>
      <c r="H18" s="20">
        <f>IF(G18="","",MIN(F18/D18,1))</f>
        <v/>
      </c>
      <c r="I18" s="18">
        <f>IF(G18="","",IF(G18=0,0,IF(N(E18)&gt;0,ROUNDUP(G18/E18,0),"")))</f>
        <v/>
      </c>
      <c r="J18" s="33">
        <f>IF(G18="","",IF(G18=0,"Ya disponible",IF(I18="","",EDATE(Programas!$C$5,I18))))</f>
        <v/>
      </c>
      <c r="K18" s="32">
        <f>IF(OR(C18="",N(D18)=0),"",D18*IFERROR(VLOOKUP(C18,Programas!$B$9:$D$18,3,FALSE),0))</f>
        <v/>
      </c>
      <c r="L18" s="19">
        <f>IF(G18="","",IF(G18=0,"Alcanzado",IF(I18="","Sin ritmo",IF(I18&lt;=3,"Cerca","En camino"))))</f>
        <v/>
      </c>
      <c r="M18" s="19">
        <f>IF(OR(G18="",G18=0,J18=""),"",IF(N(VLOOKUP(C18,Programas!$B$9:$J$18,9,FALSE))=0,"Sin caducidad",IF(J18&lt;=VLOOKUP(C18,Programas!$B$9:$J$18,9,FALSE),"A tiempo","Caduca antes")))</f>
        <v/>
      </c>
    </row>
    <row r="20">
      <c r="B20" s="25" t="inlineStr">
        <is>
          <t>Los meses se redondean hacia arriba y la fecha estimada cuenta desde la fecha de referencia de la hoja Programas (celda C5). «Cerca» significa que faltan 3 meses o menos.</t>
        </is>
      </c>
    </row>
    <row r="21">
      <c r="B21" s="25" t="inlineStr">
        <is>
          <t>El simulador supone un ritmo de acumulación constante y no tiene en cuenta cambios en el coste del canje: revísalo en cada programa antes de decidir.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7:E18">
    <cfRule type="expression" priority="1" dxfId="3">
      <formula>MOD(ROW(),2)=0</formula>
    </cfRule>
  </conditionalFormatting>
  <conditionalFormatting sqref="L7:L18">
    <cfRule type="cellIs" priority="2" operator="equal" dxfId="2">
      <formula>"Alcanzado"</formula>
    </cfRule>
    <cfRule type="cellIs" priority="3" operator="equal" dxfId="1">
      <formula>"Cerca"</formula>
    </cfRule>
    <cfRule type="cellIs" priority="4" operator="equal" dxfId="0">
      <formula>"Sin ritmo"</formula>
    </cfRule>
  </conditionalFormatting>
  <conditionalFormatting sqref="M7:M18">
    <cfRule type="cellIs" priority="5" operator="equal" dxfId="0">
      <formula>"Caduca antes"</formula>
    </cfRule>
    <cfRule type="cellIs" priority="6" operator="equal" dxfId="2">
      <formula>"A tiempo"</formula>
    </cfRule>
  </conditionalFormatting>
  <conditionalFormatting sqref="H7:H18">
    <cfRule type="dataBar" priority="7">
      <dataBar>
        <cfvo type="num" val="0"/>
        <cfvo type="max"/>
        <color rgb="0010B981"/>
      </dataBar>
    </cfRule>
  </conditionalFormatting>
  <dataValidations count="1">
    <dataValidation sqref="C7:C18" showDropDown="0" showInputMessage="0" showErrorMessage="0" allowBlank="1" type="list">
      <formula1>=Programas!$B$9:$B$18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Control de millas y puntos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13" t="inlineStr">
        <is>
          <t>CÓMO USARLA</t>
        </is>
      </c>
    </row>
    <row r="6" ht="30" customHeight="1">
      <c r="B6" s="34" t="inlineStr">
        <is>
          <t>1.  En la hoja «Programas» da de alta cada programa de fidelidad (aerolínea, hotel, tarjeta u otro) en las filas 9 a 18: nombre, tipo (desplegable), valor estimado por punto en euros y, si la tiene, la fecha de caducidad.</t>
        </is>
      </c>
    </row>
    <row r="7" ht="30" customHeight="1">
      <c r="B7" s="34" t="inlineStr">
        <is>
          <t>2.  En «Programas» revisa también la fecha de referencia (celda C5, por defecto la de hoy) y los días de aviso de caducidad (celda C6, por defecto 90).</t>
        </is>
      </c>
    </row>
    <row r="8" ht="30" customHeight="1">
      <c r="B8" s="34" t="inlineStr">
        <is>
          <t>3.  Ve a «Movimientos» y apunta, desde la fila 7, cada acumulación, canje o caducidad: fecha, programa (desplegable), tipo, concepto y puntos siempre en positivo. Tienes 40 filas preparadas.</t>
        </is>
      </c>
    </row>
    <row r="9" ht="30" customHeight="1">
      <c r="B9" s="34" t="inlineStr">
        <is>
          <t>4.  Las columnas verdes de «Movimientos» muestran el saldo del programa tras cada movimiento, su valor estimado en euros y un aviso si el saldo sale negativo o el programa no está listado.</t>
        </is>
      </c>
    </row>
    <row r="10" ht="30" customHeight="1">
      <c r="B10" s="34" t="inlineStr">
        <is>
          <t>5.  Vuelve a «Programas»: se calculan solos los puntos acumulados, canjeados, caducados, el saldo, el valor estimado, los días restantes y el estado (Vigente, Caduca pronto, Caducado o Sin caducidad).</t>
        </is>
      </c>
    </row>
    <row r="11" ht="30" customHeight="1">
      <c r="B11" s="34" t="inlineStr">
        <is>
          <t>6.  En «Objetivos» escribe el canje que persigues, su programa, los puntos necesarios y tu ritmo de acumulación al mes: verás cuántos puntos faltan, los meses necesarios, la fecha estimada y si llegas antes de caducar.</t>
        </is>
      </c>
    </row>
    <row r="12" ht="30" customHeight="1">
      <c r="B12" s="34" t="inlineStr">
        <is>
          <t>7.  Consulta «Resumen»: puntos totales, valor estimado, puntos que caducan pronto, próxima caducidad, el saldo por programa, el reparto por tipo y los dos gráficos.</t>
        </is>
      </c>
    </row>
    <row r="13" ht="30" customHeight="1">
      <c r="B13" s="34" t="inlineStr">
        <is>
          <t>8.  Cada vez que ganes o gastes puntos, añade una fila en «Movimientos»: todo lo demás se actualiza sin tocar fórmulas.</t>
        </is>
      </c>
    </row>
    <row r="15">
      <c r="B15" s="13" t="inlineStr">
        <is>
          <t>CONSEJOS</t>
        </is>
      </c>
    </row>
    <row r="16" ht="30" customHeight="1">
      <c r="B16" s="34" t="inlineStr">
        <is>
          <t>•  Hay 10 filas para programas, 40 para movimientos y 12 para objetivos ya preparadas con sus fórmulas: solo rellena las celdas crema.</t>
        </is>
      </c>
    </row>
    <row r="17" ht="30" customHeight="1">
      <c r="B17" s="34" t="inlineStr">
        <is>
          <t>•  Los nombres de programas, los puntos, las fechas y los valores por punto de los ejemplos son ficticios: sustitúyelos por los tuyos.</t>
        </is>
      </c>
    </row>
    <row r="18" ht="30" customHeight="1">
      <c r="B18" s="34" t="inlineStr">
        <is>
          <t>•  El estado y los días restantes dependen de la fecha de referencia. Si dejas la fórmula de hoy (HOY), cambiarán cada día; escribe una fecha fija en C5 si quieres congelarlos.</t>
        </is>
      </c>
    </row>
    <row r="19" ht="30" customHeight="1">
      <c r="B19" s="34" t="inlineStr">
        <is>
          <t>•  Registra los movimientos por orden de fecha: el saldo tras cada movimiento suma solo las filas anteriores y la actual.</t>
        </is>
      </c>
    </row>
    <row r="20" ht="30" customHeight="1">
      <c r="B20" s="34" t="inlineStr">
        <is>
          <t>•  Para borrar los datos de ejemplo, selecciona las celdas crema de cada hoja y pulsa Supr; las fórmulas no se tocan.</t>
        </is>
      </c>
    </row>
    <row r="22">
      <c r="B22" s="25" t="inlineStr">
        <is>
          <t>Las celdas con fondo crema y texto azul son para rellenar; las verdes se calculan solas.</t>
        </is>
      </c>
    </row>
    <row r="24" ht="44" customHeight="1">
      <c r="B24" s="35" t="inlineStr">
        <is>
          <t>Aviso: esta plantilla es una herramienta de organización personal. Las condiciones de cada programa (caducidad, canjes, valor de los puntos) las fija cada empresa y cambian: comprueba siempre las vigentes en su web. El valor por punto es una estimación tuya, no un dato oficial, y nada de lo que calcula es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 de programa</t>
        </is>
      </c>
      <c r="B1" t="inlineStr">
        <is>
          <t>Tipo de movimiento</t>
        </is>
      </c>
    </row>
    <row r="2">
      <c r="A2" t="inlineStr">
        <is>
          <t>Aerolínea</t>
        </is>
      </c>
      <c r="B2" t="inlineStr">
        <is>
          <t>Acumulación</t>
        </is>
      </c>
    </row>
    <row r="3">
      <c r="A3" t="inlineStr">
        <is>
          <t>Hotel</t>
        </is>
      </c>
      <c r="B3" t="inlineStr">
        <is>
          <t>Canje</t>
        </is>
      </c>
    </row>
    <row r="4">
      <c r="A4" t="inlineStr">
        <is>
          <t>Tarjeta</t>
        </is>
      </c>
      <c r="B4" t="inlineStr">
        <is>
          <t>Caducidad</t>
        </is>
      </c>
    </row>
    <row r="5">
      <c r="A5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2026-10-06T12:08:49Z</dcterms:created>
  <dcterms:modified xmlns:dcterms="http://purl.org/dc/terms/" xmlns:xsi="http://www.w3.org/2001/XMLSchema-instance" xsi:type="dcterms:W3CDTF">2026-10-06T12:08:49Z</dcterms:modified>
</cp:coreProperties>
</file>