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Tarjetas" sheetId="2" state="visible" r:id="rId2"/>
    <sheet xmlns:r="http://schemas.openxmlformats.org/officeDocument/2006/relationships" name="Plazos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#,##0.00 &quot;€&quot;"/>
    <numFmt numFmtId="166" formatCode="0.0%"/>
    <numFmt numFmtId="167" formatCode="0.000"/>
    <numFmt numFmtId="168" formatCode="yyyy-mm-dd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i val="1"/>
      <color rgb="006B7280"/>
      <sz val="9"/>
    </font>
    <font>
      <name val="Arial"/>
      <b val="1"/>
      <color rgb="00FFFFFF"/>
      <sz val="10"/>
    </font>
    <font>
      <name val="Arial"/>
      <color rgb="00047857"/>
      <sz val="10"/>
    </font>
    <font>
      <name val="Arial"/>
      <color rgb="006B7280"/>
      <sz val="8"/>
    </font>
    <font>
      <name val="Arial"/>
      <b val="1"/>
      <color rgb="000B4A2F"/>
      <sz val="11"/>
    </font>
    <font>
      <name val="Arial"/>
      <b val="1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1" fillId="6" borderId="0" applyAlignment="1" pivotButton="0" quotePrefix="0" xfId="0">
      <alignment horizontal="center" vertical="center" wrapText="1"/>
    </xf>
    <xf numFmtId="165" fontId="12" fillId="6" borderId="0" applyAlignment="1" pivotButton="0" quotePrefix="0" xfId="0">
      <alignment horizontal="center" vertical="center"/>
    </xf>
    <xf numFmtId="166" fontId="12" fillId="6" borderId="0" applyAlignment="1" pivotButton="0" quotePrefix="0" xfId="0">
      <alignment horizontal="center" vertical="center"/>
    </xf>
    <xf numFmtId="164" fontId="12" fillId="6" borderId="0" applyAlignment="1" pivotButton="0" quotePrefix="0" xfId="0">
      <alignment horizontal="center" vertical="center"/>
    </xf>
    <xf numFmtId="1" fontId="12" fillId="6" borderId="0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 wrapText="1"/>
    </xf>
    <xf numFmtId="1" fontId="1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vertical="center"/>
    </xf>
    <xf numFmtId="164" fontId="7" fillId="0" borderId="1" applyAlignment="1" pivotButton="0" quotePrefix="0" xfId="0">
      <alignment horizontal="center" vertical="center"/>
    </xf>
    <xf numFmtId="1" fontId="7" fillId="0" borderId="1" applyAlignment="1" pivotButton="0" quotePrefix="0" xfId="0">
      <alignment horizontal="center" vertical="center"/>
    </xf>
    <xf numFmtId="165" fontId="7" fillId="0" borderId="1" applyAlignment="1" pivotButton="0" quotePrefix="0" xfId="0">
      <alignment vertical="center"/>
    </xf>
    <xf numFmtId="166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165" fontId="10" fillId="0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164" fontId="4" fillId="3" borderId="1" applyAlignment="1" applyProtection="1" pivotButton="0" quotePrefix="0" xfId="0">
      <alignment horizontal="center" vertical="center"/>
      <protection locked="0" hidden="0"/>
    </xf>
    <xf numFmtId="1" fontId="4" fillId="3" borderId="1" applyAlignment="1" applyProtection="1" pivotButton="0" quotePrefix="0" xfId="0">
      <alignment horizontal="center" vertical="center"/>
      <protection locked="0" hidden="0"/>
    </xf>
    <xf numFmtId="9" fontId="4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applyProtection="1" pivotButton="0" quotePrefix="0" xfId="0">
      <alignment vertical="center"/>
      <protection locked="0" hidden="0"/>
    </xf>
    <xf numFmtId="165" fontId="4" fillId="3" borderId="1" applyAlignment="1" applyProtection="1" pivotButton="0" quotePrefix="0" xfId="0">
      <alignment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66" fontId="4" fillId="3" borderId="1" applyAlignment="1" applyProtection="1" pivotButton="0" quotePrefix="0" xfId="0">
      <alignment horizontal="center" vertical="center"/>
      <protection locked="0" hidden="0"/>
    </xf>
    <xf numFmtId="3" fontId="7" fillId="0" borderId="1" applyAlignment="1" pivotButton="0" quotePrefix="0" xfId="0">
      <alignment horizontal="center" vertical="center"/>
    </xf>
    <xf numFmtId="167" fontId="8" fillId="0" borderId="1" applyAlignment="1" pivotButton="0" quotePrefix="0" xfId="0">
      <alignment vertical="center"/>
    </xf>
    <xf numFmtId="1" fontId="8" fillId="0" borderId="1" applyAlignment="1" pivotButton="0" quotePrefix="0" xfId="0">
      <alignment horizontal="center" vertical="center"/>
    </xf>
    <xf numFmtId="165" fontId="9" fillId="5" borderId="1" applyAlignment="1" pivotButton="0" quotePrefix="0" xfId="0">
      <alignment vertical="center"/>
    </xf>
    <xf numFmtId="166" fontId="9" fillId="5" borderId="1" applyAlignment="1" pivotButton="0" quotePrefix="0" xfId="0">
      <alignment vertical="center"/>
    </xf>
    <xf numFmtId="0" fontId="14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5">
    <dxf>
      <fill>
        <patternFill patternType="solid">
          <fgColor rgb="00F4FAF6"/>
          <bgColor rgb="00F4FAF6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ont>
        <b val="1"/>
        <color rgb="0012744A"/>
      </font>
      <fill>
        <patternFill patternType="solid">
          <fgColor rgb="00ECFDF5"/>
          <bgColor rgb="00ECFD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Utilización del límite por tarjeta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'Panel'!G15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'Panel'!$C$16:$C$27</f>
            </numRef>
          </cat>
          <val>
            <numRef>
              <f>'Panel'!$G$16:$G$27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Cuotas a plazos de los próximos 6 meses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'Panel'!D31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'Panel'!$C$32:$C$37</f>
            </numRef>
          </cat>
          <val>
            <numRef>
              <f>'Panel'!$D$32:$D$37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612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21</row>
      <rowOff>0</rowOff>
    </from>
    <ext cx="6120000" cy="30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B4A2F"/>
    <outlinePr summaryBelow="1" summaryRight="1"/>
    <pageSetUpPr fitToPage="1"/>
  </sheetPr>
  <dimension ref="B2:H37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9" customWidth="1" min="2" max="2"/>
    <col width="26" customWidth="1" min="3" max="3"/>
    <col width="15" customWidth="1" min="4" max="4"/>
    <col width="15" customWidth="1" min="5" max="5"/>
    <col width="15" customWidth="1" min="6" max="6"/>
    <col width="15" customWidth="1" min="7" max="7"/>
    <col width="17" customWidth="1" min="8" max="8"/>
    <col width="3" customWidth="1" min="9" max="9"/>
  </cols>
  <sheetData>
    <row r="2" ht="34" customHeight="1">
      <c r="B2" s="1" t="inlineStr">
        <is>
          <t>Panel de tarjetas de crédito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Resumen automático de las hojas Tarjetas y Plazos. Se actualiza solo con la fecha de hoy.</t>
        </is>
      </c>
    </row>
    <row r="5" ht="28" customHeight="1">
      <c r="B5" s="4" t="inlineStr">
        <is>
          <t>LÍMITE TOTAL</t>
        </is>
      </c>
      <c r="D5" s="4" t="inlineStr">
        <is>
          <t>SALDO DISPUESTO</t>
        </is>
      </c>
      <c r="F5" s="4" t="inlineStr">
        <is>
          <t>UTILIZACIÓN GLOBAL</t>
        </is>
      </c>
    </row>
    <row r="6" ht="38" customHeight="1">
      <c r="B6" s="5">
        <f>SUM(Tarjetas!$C$11:$C$30)</f>
        <v/>
      </c>
      <c r="D6" s="5">
        <f>SUM(Tarjetas!$D$11:$D$30)</f>
        <v/>
      </c>
      <c r="F6" s="6">
        <f>IF(B6&gt;0,D6/B6,0)</f>
        <v/>
      </c>
    </row>
    <row r="8" ht="28" customHeight="1">
      <c r="B8" s="4" t="inlineStr">
        <is>
          <t>DISPONIBLE TOTAL</t>
        </is>
      </c>
      <c r="D8" s="4" t="inlineStr">
        <is>
          <t>INTERESES AL MES (ESTIM.)</t>
        </is>
      </c>
      <c r="F8" s="4" t="inlineStr">
        <is>
          <t>PENDIENTE A PLAZOS</t>
        </is>
      </c>
    </row>
    <row r="9" ht="38" customHeight="1">
      <c r="B9" s="5">
        <f>B6-D6</f>
        <v/>
      </c>
      <c r="D9" s="5">
        <f>SUM(Tarjetas!$O$11:$O$30)</f>
        <v/>
      </c>
      <c r="F9" s="5">
        <f>SUM(Plazos!$K$11:$K$50)</f>
        <v/>
      </c>
    </row>
    <row r="11" ht="28" customHeight="1">
      <c r="B11" s="4" t="inlineStr">
        <is>
          <t>PRÓXIMO PAGO</t>
        </is>
      </c>
      <c r="D11" s="4" t="inlineStr">
        <is>
          <t>TARJETAS CON AVISO</t>
        </is>
      </c>
      <c r="F11" s="4" t="inlineStr">
        <is>
          <t>CUOTAS A PLAZOS CADA MES</t>
        </is>
      </c>
    </row>
    <row r="12" ht="38" customHeight="1">
      <c r="B12" s="7">
        <f>IF(COUNT(Tarjetas!$M$11:$M$30)=0,"—",MIN(Tarjetas!$M$11:$M$30))</f>
        <v/>
      </c>
      <c r="D12" s="8">
        <f>COUNTIF(Tarjetas!$R$11:$R$30,"Vence pronto")+COUNTIF(Tarjetas!$R$11:$R$30,"Utilización alta")</f>
        <v/>
      </c>
      <c r="F12" s="5">
        <f>SUMIF(Plazos!$J$11:$J$50,"&gt;0",Plazos!$H$11:$H$50)</f>
        <v/>
      </c>
    </row>
    <row r="14">
      <c r="B14" s="9" t="inlineStr">
        <is>
          <t>PRÓXIMOS VENCIMIENTOS (ordenados por fecha de pago)</t>
        </is>
      </c>
    </row>
    <row r="15" ht="30" customHeight="1">
      <c r="B15" s="10" t="inlineStr">
        <is>
          <t>Orden</t>
        </is>
      </c>
      <c r="C15" s="10" t="inlineStr">
        <is>
          <t>Tarjeta</t>
        </is>
      </c>
      <c r="D15" s="10" t="inlineStr">
        <is>
          <t>Próximo pago</t>
        </is>
      </c>
      <c r="E15" s="10" t="inlineStr">
        <is>
          <t>Días</t>
        </is>
      </c>
      <c r="F15" s="10" t="inlineStr">
        <is>
          <t>Saldo dispuesto</t>
        </is>
      </c>
      <c r="G15" s="10" t="inlineStr">
        <is>
          <t>Utilización</t>
        </is>
      </c>
      <c r="H15" s="10" t="inlineStr">
        <is>
          <t>Estado</t>
        </is>
      </c>
    </row>
    <row r="16">
      <c r="B16" s="11">
        <f>IF(C16="","",1)</f>
        <v/>
      </c>
      <c r="C16" s="12">
        <f>IFERROR(IF(INDEX(Tarjetas!$B$11:$B$30,MATCH(1,Tarjetas!$T$11:$T$30,0))="","Tarjeta 1",INDEX(Tarjetas!$B$11:$B$30,MATCH(1,Tarjetas!$T$11:$T$30,0))),"")</f>
        <v/>
      </c>
      <c r="D16" s="13">
        <f>IF(C16="","",INDEX(Tarjetas!$M$11:$M$30,MATCH(1,Tarjetas!$T$11:$T$30,0)))</f>
        <v/>
      </c>
      <c r="E16" s="14">
        <f>IF(C16="","",INDEX(Tarjetas!$N$11:$N$30,MATCH(1,Tarjetas!$T$11:$T$30,0)))</f>
        <v/>
      </c>
      <c r="F16" s="15">
        <f>IF(C16="","",INDEX(Tarjetas!$D$11:$D$30,MATCH(1,Tarjetas!$T$11:$T$30,0)))</f>
        <v/>
      </c>
      <c r="G16" s="16">
        <f>IF(C16="","",INDEX(Tarjetas!$K$11:$K$30,MATCH(1,Tarjetas!$T$11:$T$30,0)))</f>
        <v/>
      </c>
      <c r="H16" s="17">
        <f>IF(C16="","",INDEX(Tarjetas!$R$11:$R$30,MATCH(1,Tarjetas!$T$11:$T$30,0)))</f>
        <v/>
      </c>
    </row>
    <row r="17">
      <c r="B17" s="11">
        <f>IF(C17="","",2)</f>
        <v/>
      </c>
      <c r="C17" s="12">
        <f>IFERROR(IF(INDEX(Tarjetas!$B$11:$B$30,MATCH(2,Tarjetas!$T$11:$T$30,0))="","Tarjeta 2",INDEX(Tarjetas!$B$11:$B$30,MATCH(2,Tarjetas!$T$11:$T$30,0))),"")</f>
        <v/>
      </c>
      <c r="D17" s="13">
        <f>IF(C17="","",INDEX(Tarjetas!$M$11:$M$30,MATCH(2,Tarjetas!$T$11:$T$30,0)))</f>
        <v/>
      </c>
      <c r="E17" s="14">
        <f>IF(C17="","",INDEX(Tarjetas!$N$11:$N$30,MATCH(2,Tarjetas!$T$11:$T$30,0)))</f>
        <v/>
      </c>
      <c r="F17" s="15">
        <f>IF(C17="","",INDEX(Tarjetas!$D$11:$D$30,MATCH(2,Tarjetas!$T$11:$T$30,0)))</f>
        <v/>
      </c>
      <c r="G17" s="16">
        <f>IF(C17="","",INDEX(Tarjetas!$K$11:$K$30,MATCH(2,Tarjetas!$T$11:$T$30,0)))</f>
        <v/>
      </c>
      <c r="H17" s="17">
        <f>IF(C17="","",INDEX(Tarjetas!$R$11:$R$30,MATCH(2,Tarjetas!$T$11:$T$30,0)))</f>
        <v/>
      </c>
    </row>
    <row r="18">
      <c r="B18" s="11">
        <f>IF(C18="","",3)</f>
        <v/>
      </c>
      <c r="C18" s="12">
        <f>IFERROR(IF(INDEX(Tarjetas!$B$11:$B$30,MATCH(3,Tarjetas!$T$11:$T$30,0))="","Tarjeta 3",INDEX(Tarjetas!$B$11:$B$30,MATCH(3,Tarjetas!$T$11:$T$30,0))),"")</f>
        <v/>
      </c>
      <c r="D18" s="13">
        <f>IF(C18="","",INDEX(Tarjetas!$M$11:$M$30,MATCH(3,Tarjetas!$T$11:$T$30,0)))</f>
        <v/>
      </c>
      <c r="E18" s="14">
        <f>IF(C18="","",INDEX(Tarjetas!$N$11:$N$30,MATCH(3,Tarjetas!$T$11:$T$30,0)))</f>
        <v/>
      </c>
      <c r="F18" s="15">
        <f>IF(C18="","",INDEX(Tarjetas!$D$11:$D$30,MATCH(3,Tarjetas!$T$11:$T$30,0)))</f>
        <v/>
      </c>
      <c r="G18" s="16">
        <f>IF(C18="","",INDEX(Tarjetas!$K$11:$K$30,MATCH(3,Tarjetas!$T$11:$T$30,0)))</f>
        <v/>
      </c>
      <c r="H18" s="17">
        <f>IF(C18="","",INDEX(Tarjetas!$R$11:$R$30,MATCH(3,Tarjetas!$T$11:$T$30,0)))</f>
        <v/>
      </c>
    </row>
    <row r="19">
      <c r="B19" s="11">
        <f>IF(C19="","",4)</f>
        <v/>
      </c>
      <c r="C19" s="12">
        <f>IFERROR(IF(INDEX(Tarjetas!$B$11:$B$30,MATCH(4,Tarjetas!$T$11:$T$30,0))="","Tarjeta 4",INDEX(Tarjetas!$B$11:$B$30,MATCH(4,Tarjetas!$T$11:$T$30,0))),"")</f>
        <v/>
      </c>
      <c r="D19" s="13">
        <f>IF(C19="","",INDEX(Tarjetas!$M$11:$M$30,MATCH(4,Tarjetas!$T$11:$T$30,0)))</f>
        <v/>
      </c>
      <c r="E19" s="14">
        <f>IF(C19="","",INDEX(Tarjetas!$N$11:$N$30,MATCH(4,Tarjetas!$T$11:$T$30,0)))</f>
        <v/>
      </c>
      <c r="F19" s="15">
        <f>IF(C19="","",INDEX(Tarjetas!$D$11:$D$30,MATCH(4,Tarjetas!$T$11:$T$30,0)))</f>
        <v/>
      </c>
      <c r="G19" s="16">
        <f>IF(C19="","",INDEX(Tarjetas!$K$11:$K$30,MATCH(4,Tarjetas!$T$11:$T$30,0)))</f>
        <v/>
      </c>
      <c r="H19" s="17">
        <f>IF(C19="","",INDEX(Tarjetas!$R$11:$R$30,MATCH(4,Tarjetas!$T$11:$T$30,0)))</f>
        <v/>
      </c>
    </row>
    <row r="20">
      <c r="B20" s="11">
        <f>IF(C20="","",5)</f>
        <v/>
      </c>
      <c r="C20" s="12">
        <f>IFERROR(IF(INDEX(Tarjetas!$B$11:$B$30,MATCH(5,Tarjetas!$T$11:$T$30,0))="","Tarjeta 5",INDEX(Tarjetas!$B$11:$B$30,MATCH(5,Tarjetas!$T$11:$T$30,0))),"")</f>
        <v/>
      </c>
      <c r="D20" s="13">
        <f>IF(C20="","",INDEX(Tarjetas!$M$11:$M$30,MATCH(5,Tarjetas!$T$11:$T$30,0)))</f>
        <v/>
      </c>
      <c r="E20" s="14">
        <f>IF(C20="","",INDEX(Tarjetas!$N$11:$N$30,MATCH(5,Tarjetas!$T$11:$T$30,0)))</f>
        <v/>
      </c>
      <c r="F20" s="15">
        <f>IF(C20="","",INDEX(Tarjetas!$D$11:$D$30,MATCH(5,Tarjetas!$T$11:$T$30,0)))</f>
        <v/>
      </c>
      <c r="G20" s="16">
        <f>IF(C20="","",INDEX(Tarjetas!$K$11:$K$30,MATCH(5,Tarjetas!$T$11:$T$30,0)))</f>
        <v/>
      </c>
      <c r="H20" s="17">
        <f>IF(C20="","",INDEX(Tarjetas!$R$11:$R$30,MATCH(5,Tarjetas!$T$11:$T$30,0)))</f>
        <v/>
      </c>
    </row>
    <row r="21">
      <c r="B21" s="11">
        <f>IF(C21="","",6)</f>
        <v/>
      </c>
      <c r="C21" s="12">
        <f>IFERROR(IF(INDEX(Tarjetas!$B$11:$B$30,MATCH(6,Tarjetas!$T$11:$T$30,0))="","Tarjeta 6",INDEX(Tarjetas!$B$11:$B$30,MATCH(6,Tarjetas!$T$11:$T$30,0))),"")</f>
        <v/>
      </c>
      <c r="D21" s="13">
        <f>IF(C21="","",INDEX(Tarjetas!$M$11:$M$30,MATCH(6,Tarjetas!$T$11:$T$30,0)))</f>
        <v/>
      </c>
      <c r="E21" s="14">
        <f>IF(C21="","",INDEX(Tarjetas!$N$11:$N$30,MATCH(6,Tarjetas!$T$11:$T$30,0)))</f>
        <v/>
      </c>
      <c r="F21" s="15">
        <f>IF(C21="","",INDEX(Tarjetas!$D$11:$D$30,MATCH(6,Tarjetas!$T$11:$T$30,0)))</f>
        <v/>
      </c>
      <c r="G21" s="16">
        <f>IF(C21="","",INDEX(Tarjetas!$K$11:$K$30,MATCH(6,Tarjetas!$T$11:$T$30,0)))</f>
        <v/>
      </c>
      <c r="H21" s="17">
        <f>IF(C21="","",INDEX(Tarjetas!$R$11:$R$30,MATCH(6,Tarjetas!$T$11:$T$30,0)))</f>
        <v/>
      </c>
    </row>
    <row r="22">
      <c r="B22" s="11">
        <f>IF(C22="","",7)</f>
        <v/>
      </c>
      <c r="C22" s="12">
        <f>IFERROR(IF(INDEX(Tarjetas!$B$11:$B$30,MATCH(7,Tarjetas!$T$11:$T$30,0))="","Tarjeta 7",INDEX(Tarjetas!$B$11:$B$30,MATCH(7,Tarjetas!$T$11:$T$30,0))),"")</f>
        <v/>
      </c>
      <c r="D22" s="13">
        <f>IF(C22="","",INDEX(Tarjetas!$M$11:$M$30,MATCH(7,Tarjetas!$T$11:$T$30,0)))</f>
        <v/>
      </c>
      <c r="E22" s="14">
        <f>IF(C22="","",INDEX(Tarjetas!$N$11:$N$30,MATCH(7,Tarjetas!$T$11:$T$30,0)))</f>
        <v/>
      </c>
      <c r="F22" s="15">
        <f>IF(C22="","",INDEX(Tarjetas!$D$11:$D$30,MATCH(7,Tarjetas!$T$11:$T$30,0)))</f>
        <v/>
      </c>
      <c r="G22" s="16">
        <f>IF(C22="","",INDEX(Tarjetas!$K$11:$K$30,MATCH(7,Tarjetas!$T$11:$T$30,0)))</f>
        <v/>
      </c>
      <c r="H22" s="17">
        <f>IF(C22="","",INDEX(Tarjetas!$R$11:$R$30,MATCH(7,Tarjetas!$T$11:$T$30,0)))</f>
        <v/>
      </c>
    </row>
    <row r="23">
      <c r="B23" s="11">
        <f>IF(C23="","",8)</f>
        <v/>
      </c>
      <c r="C23" s="12">
        <f>IFERROR(IF(INDEX(Tarjetas!$B$11:$B$30,MATCH(8,Tarjetas!$T$11:$T$30,0))="","Tarjeta 8",INDEX(Tarjetas!$B$11:$B$30,MATCH(8,Tarjetas!$T$11:$T$30,0))),"")</f>
        <v/>
      </c>
      <c r="D23" s="13">
        <f>IF(C23="","",INDEX(Tarjetas!$M$11:$M$30,MATCH(8,Tarjetas!$T$11:$T$30,0)))</f>
        <v/>
      </c>
      <c r="E23" s="14">
        <f>IF(C23="","",INDEX(Tarjetas!$N$11:$N$30,MATCH(8,Tarjetas!$T$11:$T$30,0)))</f>
        <v/>
      </c>
      <c r="F23" s="15">
        <f>IF(C23="","",INDEX(Tarjetas!$D$11:$D$30,MATCH(8,Tarjetas!$T$11:$T$30,0)))</f>
        <v/>
      </c>
      <c r="G23" s="16">
        <f>IF(C23="","",INDEX(Tarjetas!$K$11:$K$30,MATCH(8,Tarjetas!$T$11:$T$30,0)))</f>
        <v/>
      </c>
      <c r="H23" s="17">
        <f>IF(C23="","",INDEX(Tarjetas!$R$11:$R$30,MATCH(8,Tarjetas!$T$11:$T$30,0)))</f>
        <v/>
      </c>
    </row>
    <row r="24">
      <c r="B24" s="11">
        <f>IF(C24="","",9)</f>
        <v/>
      </c>
      <c r="C24" s="12">
        <f>IFERROR(IF(INDEX(Tarjetas!$B$11:$B$30,MATCH(9,Tarjetas!$T$11:$T$30,0))="","Tarjeta 9",INDEX(Tarjetas!$B$11:$B$30,MATCH(9,Tarjetas!$T$11:$T$30,0))),"")</f>
        <v/>
      </c>
      <c r="D24" s="13">
        <f>IF(C24="","",INDEX(Tarjetas!$M$11:$M$30,MATCH(9,Tarjetas!$T$11:$T$30,0)))</f>
        <v/>
      </c>
      <c r="E24" s="14">
        <f>IF(C24="","",INDEX(Tarjetas!$N$11:$N$30,MATCH(9,Tarjetas!$T$11:$T$30,0)))</f>
        <v/>
      </c>
      <c r="F24" s="15">
        <f>IF(C24="","",INDEX(Tarjetas!$D$11:$D$30,MATCH(9,Tarjetas!$T$11:$T$30,0)))</f>
        <v/>
      </c>
      <c r="G24" s="16">
        <f>IF(C24="","",INDEX(Tarjetas!$K$11:$K$30,MATCH(9,Tarjetas!$T$11:$T$30,0)))</f>
        <v/>
      </c>
      <c r="H24" s="17">
        <f>IF(C24="","",INDEX(Tarjetas!$R$11:$R$30,MATCH(9,Tarjetas!$T$11:$T$30,0)))</f>
        <v/>
      </c>
    </row>
    <row r="25">
      <c r="B25" s="11">
        <f>IF(C25="","",10)</f>
        <v/>
      </c>
      <c r="C25" s="12">
        <f>IFERROR(IF(INDEX(Tarjetas!$B$11:$B$30,MATCH(10,Tarjetas!$T$11:$T$30,0))="","Tarjeta 10",INDEX(Tarjetas!$B$11:$B$30,MATCH(10,Tarjetas!$T$11:$T$30,0))),"")</f>
        <v/>
      </c>
      <c r="D25" s="13">
        <f>IF(C25="","",INDEX(Tarjetas!$M$11:$M$30,MATCH(10,Tarjetas!$T$11:$T$30,0)))</f>
        <v/>
      </c>
      <c r="E25" s="14">
        <f>IF(C25="","",INDEX(Tarjetas!$N$11:$N$30,MATCH(10,Tarjetas!$T$11:$T$30,0)))</f>
        <v/>
      </c>
      <c r="F25" s="15">
        <f>IF(C25="","",INDEX(Tarjetas!$D$11:$D$30,MATCH(10,Tarjetas!$T$11:$T$30,0)))</f>
        <v/>
      </c>
      <c r="G25" s="16">
        <f>IF(C25="","",INDEX(Tarjetas!$K$11:$K$30,MATCH(10,Tarjetas!$T$11:$T$30,0)))</f>
        <v/>
      </c>
      <c r="H25" s="17">
        <f>IF(C25="","",INDEX(Tarjetas!$R$11:$R$30,MATCH(10,Tarjetas!$T$11:$T$30,0)))</f>
        <v/>
      </c>
    </row>
    <row r="26">
      <c r="B26" s="11">
        <f>IF(C26="","",11)</f>
        <v/>
      </c>
      <c r="C26" s="12">
        <f>IFERROR(IF(INDEX(Tarjetas!$B$11:$B$30,MATCH(11,Tarjetas!$T$11:$T$30,0))="","Tarjeta 11",INDEX(Tarjetas!$B$11:$B$30,MATCH(11,Tarjetas!$T$11:$T$30,0))),"")</f>
        <v/>
      </c>
      <c r="D26" s="13">
        <f>IF(C26="","",INDEX(Tarjetas!$M$11:$M$30,MATCH(11,Tarjetas!$T$11:$T$30,0)))</f>
        <v/>
      </c>
      <c r="E26" s="14">
        <f>IF(C26="","",INDEX(Tarjetas!$N$11:$N$30,MATCH(11,Tarjetas!$T$11:$T$30,0)))</f>
        <v/>
      </c>
      <c r="F26" s="15">
        <f>IF(C26="","",INDEX(Tarjetas!$D$11:$D$30,MATCH(11,Tarjetas!$T$11:$T$30,0)))</f>
        <v/>
      </c>
      <c r="G26" s="16">
        <f>IF(C26="","",INDEX(Tarjetas!$K$11:$K$30,MATCH(11,Tarjetas!$T$11:$T$30,0)))</f>
        <v/>
      </c>
      <c r="H26" s="17">
        <f>IF(C26="","",INDEX(Tarjetas!$R$11:$R$30,MATCH(11,Tarjetas!$T$11:$T$30,0)))</f>
        <v/>
      </c>
    </row>
    <row r="27">
      <c r="B27" s="11">
        <f>IF(C27="","",12)</f>
        <v/>
      </c>
      <c r="C27" s="12">
        <f>IFERROR(IF(INDEX(Tarjetas!$B$11:$B$30,MATCH(12,Tarjetas!$T$11:$T$30,0))="","Tarjeta 12",INDEX(Tarjetas!$B$11:$B$30,MATCH(12,Tarjetas!$T$11:$T$30,0))),"")</f>
        <v/>
      </c>
      <c r="D27" s="13">
        <f>IF(C27="","",INDEX(Tarjetas!$M$11:$M$30,MATCH(12,Tarjetas!$T$11:$T$30,0)))</f>
        <v/>
      </c>
      <c r="E27" s="14">
        <f>IF(C27="","",INDEX(Tarjetas!$N$11:$N$30,MATCH(12,Tarjetas!$T$11:$T$30,0)))</f>
        <v/>
      </c>
      <c r="F27" s="15">
        <f>IF(C27="","",INDEX(Tarjetas!$D$11:$D$30,MATCH(12,Tarjetas!$T$11:$T$30,0)))</f>
        <v/>
      </c>
      <c r="G27" s="16">
        <f>IF(C27="","",INDEX(Tarjetas!$K$11:$K$30,MATCH(12,Tarjetas!$T$11:$T$30,0)))</f>
        <v/>
      </c>
      <c r="H27" s="17">
        <f>IF(C27="","",INDEX(Tarjetas!$R$11:$R$30,MATCH(12,Tarjetas!$T$11:$T$30,0)))</f>
        <v/>
      </c>
    </row>
    <row r="28">
      <c r="B28" s="18" t="inlineStr">
        <is>
          <t>Se muestran las 12 primeras tarjetas por orden de pago; la hoja Tarjetas admite hasta 20.</t>
        </is>
      </c>
    </row>
    <row r="30">
      <c r="B30" s="9" t="inlineStr">
        <is>
          <t>CUOTAS A PLAZOS QUE VAS A PAGAR EN LOS PRÓXIMOS 6 MESES (periodos de un mes desde hoy)</t>
        </is>
      </c>
    </row>
    <row r="31" ht="26" customHeight="1">
      <c r="B31" s="10" t="inlineStr">
        <is>
          <t>Nº</t>
        </is>
      </c>
      <c r="C31" s="10" t="inlineStr">
        <is>
          <t>Periodo</t>
        </is>
      </c>
      <c r="D31" s="10" t="inlineStr">
        <is>
          <t>Cuotas del periodo</t>
        </is>
      </c>
      <c r="E31" s="10" t="inlineStr">
        <is>
          <t>Compras con cuota</t>
        </is>
      </c>
    </row>
    <row r="32">
      <c r="B32" s="11" t="n">
        <v>1</v>
      </c>
      <c r="C32" s="17">
        <f>TEXT(EDATE(Tarjetas!$D$5,B32-1),"dd/mm/yy")&amp;" - "&amp;TEXT(EDATE(Tarjetas!$D$5,B32)-1,"dd/mm/yy")</f>
        <v/>
      </c>
      <c r="D32" s="19">
        <f>SUMIF(Plazos!$J$11:$J$50,"&gt;="&amp;B32,Plazos!$H$11:$H$50)</f>
        <v/>
      </c>
      <c r="E32" s="14">
        <f>COUNTIF(Plazos!$J$11:$J$50,"&gt;="&amp;B32)</f>
        <v/>
      </c>
    </row>
    <row r="33">
      <c r="B33" s="11" t="n">
        <v>2</v>
      </c>
      <c r="C33" s="17">
        <f>TEXT(EDATE(Tarjetas!$D$5,B33-1),"dd/mm/yy")&amp;" - "&amp;TEXT(EDATE(Tarjetas!$D$5,B33)-1,"dd/mm/yy")</f>
        <v/>
      </c>
      <c r="D33" s="19">
        <f>SUMIF(Plazos!$J$11:$J$50,"&gt;="&amp;B33,Plazos!$H$11:$H$50)</f>
        <v/>
      </c>
      <c r="E33" s="14">
        <f>COUNTIF(Plazos!$J$11:$J$50,"&gt;="&amp;B33)</f>
        <v/>
      </c>
    </row>
    <row r="34">
      <c r="B34" s="11" t="n">
        <v>3</v>
      </c>
      <c r="C34" s="17">
        <f>TEXT(EDATE(Tarjetas!$D$5,B34-1),"dd/mm/yy")&amp;" - "&amp;TEXT(EDATE(Tarjetas!$D$5,B34)-1,"dd/mm/yy")</f>
        <v/>
      </c>
      <c r="D34" s="19">
        <f>SUMIF(Plazos!$J$11:$J$50,"&gt;="&amp;B34,Plazos!$H$11:$H$50)</f>
        <v/>
      </c>
      <c r="E34" s="14">
        <f>COUNTIF(Plazos!$J$11:$J$50,"&gt;="&amp;B34)</f>
        <v/>
      </c>
    </row>
    <row r="35">
      <c r="B35" s="11" t="n">
        <v>4</v>
      </c>
      <c r="C35" s="17">
        <f>TEXT(EDATE(Tarjetas!$D$5,B35-1),"dd/mm/yy")&amp;" - "&amp;TEXT(EDATE(Tarjetas!$D$5,B35)-1,"dd/mm/yy")</f>
        <v/>
      </c>
      <c r="D35" s="19">
        <f>SUMIF(Plazos!$J$11:$J$50,"&gt;="&amp;B35,Plazos!$H$11:$H$50)</f>
        <v/>
      </c>
      <c r="E35" s="14">
        <f>COUNTIF(Plazos!$J$11:$J$50,"&gt;="&amp;B35)</f>
        <v/>
      </c>
    </row>
    <row r="36">
      <c r="B36" s="11" t="n">
        <v>5</v>
      </c>
      <c r="C36" s="17">
        <f>TEXT(EDATE(Tarjetas!$D$5,B36-1),"dd/mm/yy")&amp;" - "&amp;TEXT(EDATE(Tarjetas!$D$5,B36)-1,"dd/mm/yy")</f>
        <v/>
      </c>
      <c r="D36" s="19">
        <f>SUMIF(Plazos!$J$11:$J$50,"&gt;="&amp;B36,Plazos!$H$11:$H$50)</f>
        <v/>
      </c>
      <c r="E36" s="14">
        <f>COUNTIF(Plazos!$J$11:$J$50,"&gt;="&amp;B36)</f>
        <v/>
      </c>
    </row>
    <row r="37">
      <c r="B37" s="11" t="n">
        <v>6</v>
      </c>
      <c r="C37" s="17">
        <f>TEXT(EDATE(Tarjetas!$D$5,B37-1),"dd/mm/yy")&amp;" - "&amp;TEXT(EDATE(Tarjetas!$D$5,B37)-1,"dd/mm/yy")</f>
        <v/>
      </c>
      <c r="D37" s="19">
        <f>SUMIF(Plazos!$J$11:$J$50,"&gt;="&amp;B37,Plazos!$H$11:$H$50)</f>
        <v/>
      </c>
      <c r="E37" s="14">
        <f>COUNTIF(Plazos!$J$11:$J$50,"&gt;="&amp;B37)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0">
    <mergeCell ref="F5:H5"/>
    <mergeCell ref="F8:H8"/>
    <mergeCell ref="B12:C12"/>
    <mergeCell ref="D6:E6"/>
    <mergeCell ref="B11:C11"/>
    <mergeCell ref="D11:E11"/>
    <mergeCell ref="F9:H9"/>
    <mergeCell ref="B3:H3"/>
    <mergeCell ref="B8:C8"/>
    <mergeCell ref="B2:H2"/>
    <mergeCell ref="B9:C9"/>
    <mergeCell ref="D9:E9"/>
    <mergeCell ref="F11:H11"/>
    <mergeCell ref="D12:E12"/>
    <mergeCell ref="D8:E8"/>
    <mergeCell ref="B6:C6"/>
    <mergeCell ref="F6:H6"/>
    <mergeCell ref="B5:C5"/>
    <mergeCell ref="D5:E5"/>
    <mergeCell ref="F12:H12"/>
  </mergeCells>
  <conditionalFormatting sqref="B16:H27">
    <cfRule type="expression" priority="1" dxfId="0">
      <formula>MOD(ROW(),2)=0</formula>
    </cfRule>
  </conditionalFormatting>
  <conditionalFormatting sqref="H16:H27">
    <cfRule type="cellIs" priority="2" operator="equal" dxfId="1">
      <formula>"Vence pronto"</formula>
    </cfRule>
    <cfRule type="cellIs" priority="3" operator="equal" dxfId="2">
      <formula>"Utilización alta"</formula>
    </cfRule>
    <cfRule type="cellIs" priority="4" operator="equal" dxfId="3">
      <formula>"Al día"</formula>
    </cfRule>
  </conditionalFormatting>
  <conditionalFormatting sqref="E16:E27">
    <cfRule type="expression" priority="5" dxfId="1">
      <formula>AND(ISNUMBER(E16),E16&lt;=Tarjetas!$D$6)</formula>
    </cfRule>
  </conditionalFormatting>
  <conditionalFormatting sqref="G16:G27">
    <cfRule type="dataBar" priority="6">
      <dataBar>
        <cfvo type="num" val="0"/>
        <cfvo type="max"/>
        <color rgb="00F59E0B"/>
      </dataBar>
    </cfRule>
  </conditionalFormatting>
  <conditionalFormatting sqref="D32:D37">
    <cfRule type="dataBar" priority="7">
      <dataBar>
        <cfvo type="num" val="0"/>
        <cfvo type="max"/>
        <color rgb="0034D399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T33"/>
  <sheetViews>
    <sheetView showGridLines="0" tabSelected="1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6" customWidth="1" min="2" max="2"/>
    <col width="13" customWidth="1" min="3" max="3"/>
    <col width="14" customWidth="1" min="4" max="4"/>
    <col width="13" customWidth="1" min="5" max="5"/>
    <col width="9" customWidth="1" min="6" max="6"/>
    <col width="9" customWidth="1" min="7" max="7"/>
    <col width="9" customWidth="1" min="8" max="8"/>
    <col width="14" customWidth="1" min="9" max="9"/>
    <col width="13" customWidth="1" min="10" max="10"/>
    <col width="12" customWidth="1" min="11" max="11"/>
    <col width="13" customWidth="1" min="12" max="12"/>
    <col width="13" customWidth="1" min="13" max="13"/>
    <col width="11" customWidth="1" min="14" max="14"/>
    <col width="13" customWidth="1" min="15" max="15"/>
    <col width="13" customWidth="1" min="16" max="16"/>
    <col width="14" customWidth="1" min="17" max="17"/>
    <col width="17" customWidth="1" min="18" max="18"/>
    <col width="11" customWidth="1" min="19" max="19"/>
    <col width="8" customWidth="1" min="20" max="20"/>
  </cols>
  <sheetData>
    <row r="2" ht="34" customHeight="1">
      <c r="B2" s="1" t="inlineStr">
        <is>
          <t>Control de tarjetas de crédito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>
      <c r="B3" s="3" t="inlineStr">
        <is>
          <t>Una fila por tarjeta: límite, saldo, fechas de cierre y pago, TAE y pago mensual (celdas crema).</t>
        </is>
      </c>
    </row>
    <row r="5">
      <c r="B5" s="20" t="inlineStr">
        <is>
          <t>Fecha de hoy (puedes fijarla a mano)</t>
        </is>
      </c>
      <c r="D5" s="21">
        <f>TODAY()</f>
        <v/>
      </c>
      <c r="E5" s="18" t="inlineStr">
        <is>
          <t>Si borras la fórmula y escribes una fecha, todos los avisos se calculan a esa fecha.</t>
        </is>
      </c>
    </row>
    <row r="6">
      <c r="B6" s="20" t="inlineStr">
        <is>
          <t>Avisar si vence en los próximos (días)</t>
        </is>
      </c>
      <c r="D6" s="22" t="n">
        <v>7</v>
      </c>
      <c r="E6" s="18" t="inlineStr">
        <is>
          <t>Una tarjeta pasa a «Vence pronto» cuando su próximo pago cae dentro de esos días.</t>
        </is>
      </c>
    </row>
    <row r="7">
      <c r="B7" s="20" t="inlineStr">
        <is>
          <t>Utilización alta a partir de</t>
        </is>
      </c>
      <c r="D7" s="23" t="n">
        <v>0.7</v>
      </c>
      <c r="E7" s="18" t="inlineStr">
        <is>
          <t>Referencia habitual: mantener la utilización por debajo del 30 %-50 %; aquí tú decides el umbral.</t>
        </is>
      </c>
    </row>
    <row r="10" ht="44" customHeight="1">
      <c r="B10" s="10" t="inlineStr">
        <is>
          <t>Tarjeta</t>
        </is>
      </c>
      <c r="C10" s="10" t="inlineStr">
        <is>
          <t>Límite</t>
        </is>
      </c>
      <c r="D10" s="10" t="inlineStr">
        <is>
          <t>Saldo dispuesto</t>
        </is>
      </c>
      <c r="E10" s="10" t="inlineStr">
        <is>
          <t>Modalidad</t>
        </is>
      </c>
      <c r="F10" s="10" t="inlineStr">
        <is>
          <t>TAE</t>
        </is>
      </c>
      <c r="G10" s="10" t="inlineStr">
        <is>
          <t>Día de cierre</t>
        </is>
      </c>
      <c r="H10" s="10" t="inlineStr">
        <is>
          <t>Día de pago</t>
        </is>
      </c>
      <c r="I10" s="10" t="inlineStr">
        <is>
          <t>Pago mensual previsto</t>
        </is>
      </c>
      <c r="J10" s="10" t="inlineStr">
        <is>
          <t>Disponible</t>
        </is>
      </c>
      <c r="K10" s="10" t="inlineStr">
        <is>
          <t>Utilización</t>
        </is>
      </c>
      <c r="L10" s="10" t="inlineStr">
        <is>
          <t>Próximo cierre</t>
        </is>
      </c>
      <c r="M10" s="10" t="inlineStr">
        <is>
          <t>Próximo pago</t>
        </is>
      </c>
      <c r="N10" s="10" t="inlineStr">
        <is>
          <t>Días hasta el pago</t>
        </is>
      </c>
      <c r="O10" s="10" t="inlineStr">
        <is>
          <t>Interés mensual estimado</t>
        </is>
      </c>
      <c r="P10" s="10" t="inlineStr">
        <is>
          <t>Meses para liquidar</t>
        </is>
      </c>
      <c r="Q10" s="10" t="inlineStr">
        <is>
          <t>Pendiente a plazos</t>
        </is>
      </c>
      <c r="R10" s="10" t="inlineStr">
        <is>
          <t>Estado</t>
        </is>
      </c>
      <c r="S10" s="10" t="inlineStr">
        <is>
          <t>Clave orden</t>
        </is>
      </c>
      <c r="T10" s="10" t="inlineStr">
        <is>
          <t>Orden</t>
        </is>
      </c>
    </row>
    <row r="11">
      <c r="B11" s="24" t="inlineStr">
        <is>
          <t>Visa Clásica</t>
        </is>
      </c>
      <c r="C11" s="25" t="n">
        <v>3000</v>
      </c>
      <c r="D11" s="25" t="n">
        <v>840</v>
      </c>
      <c r="E11" s="26" t="inlineStr">
        <is>
          <t>Pago total</t>
        </is>
      </c>
      <c r="F11" s="27" t="n">
        <v>0.22</v>
      </c>
      <c r="G11" s="22" t="n">
        <v>25</v>
      </c>
      <c r="H11" s="22" t="n">
        <v>5</v>
      </c>
      <c r="I11" s="25" t="n">
        <v>840</v>
      </c>
      <c r="J11" s="15">
        <f>IF(C11="","",C11-D11)</f>
        <v/>
      </c>
      <c r="K11" s="16">
        <f>IF(OR(C11="",C11=0),"",D11/C11)</f>
        <v/>
      </c>
      <c r="L11" s="13">
        <f>IF(G11="","",IF(DAY($D$5)&lt;=G11,DATE(YEAR($D$5),MONTH($D$5),G11),DATE(YEAR($D$5),MONTH($D$5)+1,G11)))</f>
        <v/>
      </c>
      <c r="M11" s="13">
        <f>IF(H11="","",IF(DAY($D$5)&lt;=H11,DATE(YEAR($D$5),MONTH($D$5),H11),DATE(YEAR($D$5),MONTH($D$5)+1,H11)))</f>
        <v/>
      </c>
      <c r="N11" s="14">
        <f>IF(M11="","",M11-$D$5)</f>
        <v/>
      </c>
      <c r="O11" s="15">
        <f>IF(C11="","",IF(E11="Aplazado",ROUND(D11*F11/12,2),0))</f>
        <v/>
      </c>
      <c r="P11" s="28">
        <f>IF(C11="","",IF(E11&lt;&gt;"Aplazado","—",IF(D11&lt;=0,0,IFERROR(ROUNDUP(NPER(F11/12,-I11,D11),0),"No amortiza"))))</f>
        <v/>
      </c>
      <c r="Q11" s="15">
        <f>IF(B11="","",SUMIF(Plazos!$C$11:$C$50,B11,Plazos!$K$11:$K$50))</f>
        <v/>
      </c>
      <c r="R11" s="17">
        <f>IF(C11="","",IF(D11&lt;=0,"Sin saldo",IF(AND(N11&gt;=0,N11&lt;=$D$6),"Vence pronto",IF(K11&gt;$D$7,"Utilización alta","Al día"))))</f>
        <v/>
      </c>
      <c r="S11" s="29">
        <f>IF(C11="",9E+15,N11+ROW()/1000)</f>
        <v/>
      </c>
      <c r="T11" s="30">
        <f>IF(C11="","",SUMPRODUCT(--($S$11:$S$30&lt;S11))+1)</f>
        <v/>
      </c>
    </row>
    <row r="12">
      <c r="B12" s="24" t="inlineStr">
        <is>
          <t>Mastercard Oro</t>
        </is>
      </c>
      <c r="C12" s="25" t="n">
        <v>6000</v>
      </c>
      <c r="D12" s="25" t="n">
        <v>3900</v>
      </c>
      <c r="E12" s="26" t="inlineStr">
        <is>
          <t>Aplazado</t>
        </is>
      </c>
      <c r="F12" s="27" t="n">
        <v>0.219</v>
      </c>
      <c r="G12" s="22" t="n">
        <v>28</v>
      </c>
      <c r="H12" s="22" t="n">
        <v>10</v>
      </c>
      <c r="I12" s="25" t="n">
        <v>250</v>
      </c>
      <c r="J12" s="15">
        <f>IF(C12="","",C12-D12)</f>
        <v/>
      </c>
      <c r="K12" s="16">
        <f>IF(OR(C12="",C12=0),"",D12/C12)</f>
        <v/>
      </c>
      <c r="L12" s="13">
        <f>IF(G12="","",IF(DAY($D$5)&lt;=G12,DATE(YEAR($D$5),MONTH($D$5),G12),DATE(YEAR($D$5),MONTH($D$5)+1,G12)))</f>
        <v/>
      </c>
      <c r="M12" s="13">
        <f>IF(H12="","",IF(DAY($D$5)&lt;=H12,DATE(YEAR($D$5),MONTH($D$5),H12),DATE(YEAR($D$5),MONTH($D$5)+1,H12)))</f>
        <v/>
      </c>
      <c r="N12" s="14">
        <f>IF(M12="","",M12-$D$5)</f>
        <v/>
      </c>
      <c r="O12" s="15">
        <f>IF(C12="","",IF(E12="Aplazado",ROUND(D12*F12/12,2),0))</f>
        <v/>
      </c>
      <c r="P12" s="28">
        <f>IF(C12="","",IF(E12&lt;&gt;"Aplazado","—",IF(D12&lt;=0,0,IFERROR(ROUNDUP(NPER(F12/12,-I12,D12),0),"No amortiza"))))</f>
        <v/>
      </c>
      <c r="Q12" s="15">
        <f>IF(B12="","",SUMIF(Plazos!$C$11:$C$50,B12,Plazos!$K$11:$K$50))</f>
        <v/>
      </c>
      <c r="R12" s="17">
        <f>IF(C12="","",IF(D12&lt;=0,"Sin saldo",IF(AND(N12&gt;=0,N12&lt;=$D$6),"Vence pronto",IF(K12&gt;$D$7,"Utilización alta","Al día"))))</f>
        <v/>
      </c>
      <c r="S12" s="29">
        <f>IF(C12="",9E+15,N12+ROW()/1000)</f>
        <v/>
      </c>
      <c r="T12" s="30">
        <f>IF(C12="","",SUMPRODUCT(--($S$11:$S$30&lt;S12))+1)</f>
        <v/>
      </c>
    </row>
    <row r="13">
      <c r="B13" s="24" t="inlineStr">
        <is>
          <t>Tarjeta Tienda Moda</t>
        </is>
      </c>
      <c r="C13" s="25" t="n">
        <v>1500</v>
      </c>
      <c r="D13" s="25" t="n">
        <v>1280</v>
      </c>
      <c r="E13" s="26" t="inlineStr">
        <is>
          <t>Aplazado</t>
        </is>
      </c>
      <c r="F13" s="27" t="n">
        <v>0.246</v>
      </c>
      <c r="G13" s="22" t="n">
        <v>20</v>
      </c>
      <c r="H13" s="22" t="n">
        <v>1</v>
      </c>
      <c r="I13" s="25" t="n">
        <v>90</v>
      </c>
      <c r="J13" s="15">
        <f>IF(C13="","",C13-D13)</f>
        <v/>
      </c>
      <c r="K13" s="16">
        <f>IF(OR(C13="",C13=0),"",D13/C13)</f>
        <v/>
      </c>
      <c r="L13" s="13">
        <f>IF(G13="","",IF(DAY($D$5)&lt;=G13,DATE(YEAR($D$5),MONTH($D$5),G13),DATE(YEAR($D$5),MONTH($D$5)+1,G13)))</f>
        <v/>
      </c>
      <c r="M13" s="13">
        <f>IF(H13="","",IF(DAY($D$5)&lt;=H13,DATE(YEAR($D$5),MONTH($D$5),H13),DATE(YEAR($D$5),MONTH($D$5)+1,H13)))</f>
        <v/>
      </c>
      <c r="N13" s="14">
        <f>IF(M13="","",M13-$D$5)</f>
        <v/>
      </c>
      <c r="O13" s="15">
        <f>IF(C13="","",IF(E13="Aplazado",ROUND(D13*F13/12,2),0))</f>
        <v/>
      </c>
      <c r="P13" s="28">
        <f>IF(C13="","",IF(E13&lt;&gt;"Aplazado","—",IF(D13&lt;=0,0,IFERROR(ROUNDUP(NPER(F13/12,-I13,D13),0),"No amortiza"))))</f>
        <v/>
      </c>
      <c r="Q13" s="15">
        <f>IF(B13="","",SUMIF(Plazos!$C$11:$C$50,B13,Plazos!$K$11:$K$50))</f>
        <v/>
      </c>
      <c r="R13" s="17">
        <f>IF(C13="","",IF(D13&lt;=0,"Sin saldo",IF(AND(N13&gt;=0,N13&lt;=$D$6),"Vence pronto",IF(K13&gt;$D$7,"Utilización alta","Al día"))))</f>
        <v/>
      </c>
      <c r="S13" s="29">
        <f>IF(C13="",9E+15,N13+ROW()/1000)</f>
        <v/>
      </c>
      <c r="T13" s="30">
        <f>IF(C13="","",SUMPRODUCT(--($S$11:$S$30&lt;S13))+1)</f>
        <v/>
      </c>
    </row>
    <row r="14">
      <c r="B14" s="24" t="inlineStr">
        <is>
          <t>Tarjeta Supermercado</t>
        </is>
      </c>
      <c r="C14" s="25" t="n">
        <v>1200</v>
      </c>
      <c r="D14" s="25" t="n">
        <v>310</v>
      </c>
      <c r="E14" s="26" t="inlineStr">
        <is>
          <t>Pago total</t>
        </is>
      </c>
      <c r="F14" s="27" t="n">
        <v>0.199</v>
      </c>
      <c r="G14" s="22" t="n">
        <v>15</v>
      </c>
      <c r="H14" s="22" t="n">
        <v>25</v>
      </c>
      <c r="I14" s="25" t="n">
        <v>310</v>
      </c>
      <c r="J14" s="15">
        <f>IF(C14="","",C14-D14)</f>
        <v/>
      </c>
      <c r="K14" s="16">
        <f>IF(OR(C14="",C14=0),"",D14/C14)</f>
        <v/>
      </c>
      <c r="L14" s="13">
        <f>IF(G14="","",IF(DAY($D$5)&lt;=G14,DATE(YEAR($D$5),MONTH($D$5),G14),DATE(YEAR($D$5),MONTH($D$5)+1,G14)))</f>
        <v/>
      </c>
      <c r="M14" s="13">
        <f>IF(H14="","",IF(DAY($D$5)&lt;=H14,DATE(YEAR($D$5),MONTH($D$5),H14),DATE(YEAR($D$5),MONTH($D$5)+1,H14)))</f>
        <v/>
      </c>
      <c r="N14" s="14">
        <f>IF(M14="","",M14-$D$5)</f>
        <v/>
      </c>
      <c r="O14" s="15">
        <f>IF(C14="","",IF(E14="Aplazado",ROUND(D14*F14/12,2),0))</f>
        <v/>
      </c>
      <c r="P14" s="28">
        <f>IF(C14="","",IF(E14&lt;&gt;"Aplazado","—",IF(D14&lt;=0,0,IFERROR(ROUNDUP(NPER(F14/12,-I14,D14),0),"No amortiza"))))</f>
        <v/>
      </c>
      <c r="Q14" s="15">
        <f>IF(B14="","",SUMIF(Plazos!$C$11:$C$50,B14,Plazos!$K$11:$K$50))</f>
        <v/>
      </c>
      <c r="R14" s="17">
        <f>IF(C14="","",IF(D14&lt;=0,"Sin saldo",IF(AND(N14&gt;=0,N14&lt;=$D$6),"Vence pronto",IF(K14&gt;$D$7,"Utilización alta","Al día"))))</f>
        <v/>
      </c>
      <c r="S14" s="29">
        <f>IF(C14="",9E+15,N14+ROW()/1000)</f>
        <v/>
      </c>
      <c r="T14" s="30">
        <f>IF(C14="","",SUMPRODUCT(--($S$11:$S$30&lt;S14))+1)</f>
        <v/>
      </c>
    </row>
    <row r="15">
      <c r="B15" s="24" t="inlineStr">
        <is>
          <t>Visa Viajes</t>
        </is>
      </c>
      <c r="C15" s="25" t="n">
        <v>4000</v>
      </c>
      <c r="D15" s="25" t="n">
        <v>1250</v>
      </c>
      <c r="E15" s="26" t="inlineStr">
        <is>
          <t>Pago total</t>
        </is>
      </c>
      <c r="F15" s="27" t="n">
        <v>0.18</v>
      </c>
      <c r="G15" s="22" t="n">
        <v>28</v>
      </c>
      <c r="H15" s="22" t="n">
        <v>8</v>
      </c>
      <c r="I15" s="25" t="n">
        <v>1250</v>
      </c>
      <c r="J15" s="15">
        <f>IF(C15="","",C15-D15)</f>
        <v/>
      </c>
      <c r="K15" s="16">
        <f>IF(OR(C15="",C15=0),"",D15/C15)</f>
        <v/>
      </c>
      <c r="L15" s="13">
        <f>IF(G15="","",IF(DAY($D$5)&lt;=G15,DATE(YEAR($D$5),MONTH($D$5),G15),DATE(YEAR($D$5),MONTH($D$5)+1,G15)))</f>
        <v/>
      </c>
      <c r="M15" s="13">
        <f>IF(H15="","",IF(DAY($D$5)&lt;=H15,DATE(YEAR($D$5),MONTH($D$5),H15),DATE(YEAR($D$5),MONTH($D$5)+1,H15)))</f>
        <v/>
      </c>
      <c r="N15" s="14">
        <f>IF(M15="","",M15-$D$5)</f>
        <v/>
      </c>
      <c r="O15" s="15">
        <f>IF(C15="","",IF(E15="Aplazado",ROUND(D15*F15/12,2),0))</f>
        <v/>
      </c>
      <c r="P15" s="28">
        <f>IF(C15="","",IF(E15&lt;&gt;"Aplazado","—",IF(D15&lt;=0,0,IFERROR(ROUNDUP(NPER(F15/12,-I15,D15),0),"No amortiza"))))</f>
        <v/>
      </c>
      <c r="Q15" s="15">
        <f>IF(B15="","",SUMIF(Plazos!$C$11:$C$50,B15,Plazos!$K$11:$K$50))</f>
        <v/>
      </c>
      <c r="R15" s="17">
        <f>IF(C15="","",IF(D15&lt;=0,"Sin saldo",IF(AND(N15&gt;=0,N15&lt;=$D$6),"Vence pronto",IF(K15&gt;$D$7,"Utilización alta","Al día"))))</f>
        <v/>
      </c>
      <c r="S15" s="29">
        <f>IF(C15="",9E+15,N15+ROW()/1000)</f>
        <v/>
      </c>
      <c r="T15" s="30">
        <f>IF(C15="","",SUMPRODUCT(--($S$11:$S$30&lt;S15))+1)</f>
        <v/>
      </c>
    </row>
    <row r="16">
      <c r="B16" s="24" t="inlineStr">
        <is>
          <t>Tarjeta Electrodomésticos</t>
        </is>
      </c>
      <c r="C16" s="25" t="n">
        <v>3500</v>
      </c>
      <c r="D16" s="25" t="n">
        <v>2350</v>
      </c>
      <c r="E16" s="26" t="inlineStr">
        <is>
          <t>Aplazado</t>
        </is>
      </c>
      <c r="F16" s="27" t="n">
        <v>0.095</v>
      </c>
      <c r="G16" s="22" t="n">
        <v>12</v>
      </c>
      <c r="H16" s="22" t="n">
        <v>22</v>
      </c>
      <c r="I16" s="25" t="n">
        <v>150</v>
      </c>
      <c r="J16" s="15">
        <f>IF(C16="","",C16-D16)</f>
        <v/>
      </c>
      <c r="K16" s="16">
        <f>IF(OR(C16="",C16=0),"",D16/C16)</f>
        <v/>
      </c>
      <c r="L16" s="13">
        <f>IF(G16="","",IF(DAY($D$5)&lt;=G16,DATE(YEAR($D$5),MONTH($D$5),G16),DATE(YEAR($D$5),MONTH($D$5)+1,G16)))</f>
        <v/>
      </c>
      <c r="M16" s="13">
        <f>IF(H16="","",IF(DAY($D$5)&lt;=H16,DATE(YEAR($D$5),MONTH($D$5),H16),DATE(YEAR($D$5),MONTH($D$5)+1,H16)))</f>
        <v/>
      </c>
      <c r="N16" s="14">
        <f>IF(M16="","",M16-$D$5)</f>
        <v/>
      </c>
      <c r="O16" s="15">
        <f>IF(C16="","",IF(E16="Aplazado",ROUND(D16*F16/12,2),0))</f>
        <v/>
      </c>
      <c r="P16" s="28">
        <f>IF(C16="","",IF(E16&lt;&gt;"Aplazado","—",IF(D16&lt;=0,0,IFERROR(ROUNDUP(NPER(F16/12,-I16,D16),0),"No amortiza"))))</f>
        <v/>
      </c>
      <c r="Q16" s="15">
        <f>IF(B16="","",SUMIF(Plazos!$C$11:$C$50,B16,Plazos!$K$11:$K$50))</f>
        <v/>
      </c>
      <c r="R16" s="17">
        <f>IF(C16="","",IF(D16&lt;=0,"Sin saldo",IF(AND(N16&gt;=0,N16&lt;=$D$6),"Vence pronto",IF(K16&gt;$D$7,"Utilización alta","Al día"))))</f>
        <v/>
      </c>
      <c r="S16" s="29">
        <f>IF(C16="",9E+15,N16+ROW()/1000)</f>
        <v/>
      </c>
      <c r="T16" s="30">
        <f>IF(C16="","",SUMPRODUCT(--($S$11:$S$30&lt;S16))+1)</f>
        <v/>
      </c>
    </row>
    <row r="17">
      <c r="B17" s="24" t="inlineStr">
        <is>
          <t>Revolving Banco B</t>
        </is>
      </c>
      <c r="C17" s="25" t="n">
        <v>3000</v>
      </c>
      <c r="D17" s="25" t="n">
        <v>2450</v>
      </c>
      <c r="E17" s="26" t="inlineStr">
        <is>
          <t>Aplazado</t>
        </is>
      </c>
      <c r="F17" s="27" t="n">
        <v>0.239</v>
      </c>
      <c r="G17" s="22" t="n">
        <v>3</v>
      </c>
      <c r="H17" s="22" t="n">
        <v>15</v>
      </c>
      <c r="I17" s="25" t="n">
        <v>120</v>
      </c>
      <c r="J17" s="15">
        <f>IF(C17="","",C17-D17)</f>
        <v/>
      </c>
      <c r="K17" s="16">
        <f>IF(OR(C17="",C17=0),"",D17/C17)</f>
        <v/>
      </c>
      <c r="L17" s="13">
        <f>IF(G17="","",IF(DAY($D$5)&lt;=G17,DATE(YEAR($D$5),MONTH($D$5),G17),DATE(YEAR($D$5),MONTH($D$5)+1,G17)))</f>
        <v/>
      </c>
      <c r="M17" s="13">
        <f>IF(H17="","",IF(DAY($D$5)&lt;=H17,DATE(YEAR($D$5),MONTH($D$5),H17),DATE(YEAR($D$5),MONTH($D$5)+1,H17)))</f>
        <v/>
      </c>
      <c r="N17" s="14">
        <f>IF(M17="","",M17-$D$5)</f>
        <v/>
      </c>
      <c r="O17" s="15">
        <f>IF(C17="","",IF(E17="Aplazado",ROUND(D17*F17/12,2),0))</f>
        <v/>
      </c>
      <c r="P17" s="28">
        <f>IF(C17="","",IF(E17&lt;&gt;"Aplazado","—",IF(D17&lt;=0,0,IFERROR(ROUNDUP(NPER(F17/12,-I17,D17),0),"No amortiza"))))</f>
        <v/>
      </c>
      <c r="Q17" s="15">
        <f>IF(B17="","",SUMIF(Plazos!$C$11:$C$50,B17,Plazos!$K$11:$K$50))</f>
        <v/>
      </c>
      <c r="R17" s="17">
        <f>IF(C17="","",IF(D17&lt;=0,"Sin saldo",IF(AND(N17&gt;=0,N17&lt;=$D$6),"Vence pronto",IF(K17&gt;$D$7,"Utilización alta","Al día"))))</f>
        <v/>
      </c>
      <c r="S17" s="29">
        <f>IF(C17="",9E+15,N17+ROW()/1000)</f>
        <v/>
      </c>
      <c r="T17" s="30">
        <f>IF(C17="","",SUMPRODUCT(--($S$11:$S$30&lt;S17))+1)</f>
        <v/>
      </c>
    </row>
    <row r="18">
      <c r="B18" s="24" t="inlineStr">
        <is>
          <t>Tarjeta Gasolinera</t>
        </is>
      </c>
      <c r="C18" s="25" t="n">
        <v>800</v>
      </c>
      <c r="D18" s="25" t="n">
        <v>190</v>
      </c>
      <c r="E18" s="26" t="inlineStr">
        <is>
          <t>Pago total</t>
        </is>
      </c>
      <c r="F18" s="27" t="n">
        <v>0.17</v>
      </c>
      <c r="G18" s="22" t="n">
        <v>10</v>
      </c>
      <c r="H18" s="22" t="n">
        <v>20</v>
      </c>
      <c r="I18" s="25" t="n">
        <v>190</v>
      </c>
      <c r="J18" s="15">
        <f>IF(C18="","",C18-D18)</f>
        <v/>
      </c>
      <c r="K18" s="16">
        <f>IF(OR(C18="",C18=0),"",D18/C18)</f>
        <v/>
      </c>
      <c r="L18" s="13">
        <f>IF(G18="","",IF(DAY($D$5)&lt;=G18,DATE(YEAR($D$5),MONTH($D$5),G18),DATE(YEAR($D$5),MONTH($D$5)+1,G18)))</f>
        <v/>
      </c>
      <c r="M18" s="13">
        <f>IF(H18="","",IF(DAY($D$5)&lt;=H18,DATE(YEAR($D$5),MONTH($D$5),H18),DATE(YEAR($D$5),MONTH($D$5)+1,H18)))</f>
        <v/>
      </c>
      <c r="N18" s="14">
        <f>IF(M18="","",M18-$D$5)</f>
        <v/>
      </c>
      <c r="O18" s="15">
        <f>IF(C18="","",IF(E18="Aplazado",ROUND(D18*F18/12,2),0))</f>
        <v/>
      </c>
      <c r="P18" s="28">
        <f>IF(C18="","",IF(E18&lt;&gt;"Aplazado","—",IF(D18&lt;=0,0,IFERROR(ROUNDUP(NPER(F18/12,-I18,D18),0),"No amortiza"))))</f>
        <v/>
      </c>
      <c r="Q18" s="15">
        <f>IF(B18="","",SUMIF(Plazos!$C$11:$C$50,B18,Plazos!$K$11:$K$50))</f>
        <v/>
      </c>
      <c r="R18" s="17">
        <f>IF(C18="","",IF(D18&lt;=0,"Sin saldo",IF(AND(N18&gt;=0,N18&lt;=$D$6),"Vence pronto",IF(K18&gt;$D$7,"Utilización alta","Al día"))))</f>
        <v/>
      </c>
      <c r="S18" s="29">
        <f>IF(C18="",9E+15,N18+ROW()/1000)</f>
        <v/>
      </c>
      <c r="T18" s="30">
        <f>IF(C18="","",SUMPRODUCT(--($S$11:$S$30&lt;S18))+1)</f>
        <v/>
      </c>
    </row>
    <row r="19">
      <c r="B19" s="24" t="n"/>
      <c r="C19" s="25" t="n"/>
      <c r="D19" s="25" t="n"/>
      <c r="E19" s="26" t="n"/>
      <c r="F19" s="27" t="n"/>
      <c r="G19" s="22" t="n"/>
      <c r="H19" s="22" t="n"/>
      <c r="I19" s="25" t="n"/>
      <c r="J19" s="15">
        <f>IF(C19="","",C19-D19)</f>
        <v/>
      </c>
      <c r="K19" s="16">
        <f>IF(OR(C19="",C19=0),"",D19/C19)</f>
        <v/>
      </c>
      <c r="L19" s="13">
        <f>IF(G19="","",IF(DAY($D$5)&lt;=G19,DATE(YEAR($D$5),MONTH($D$5),G19),DATE(YEAR($D$5),MONTH($D$5)+1,G19)))</f>
        <v/>
      </c>
      <c r="M19" s="13">
        <f>IF(H19="","",IF(DAY($D$5)&lt;=H19,DATE(YEAR($D$5),MONTH($D$5),H19),DATE(YEAR($D$5),MONTH($D$5)+1,H19)))</f>
        <v/>
      </c>
      <c r="N19" s="14">
        <f>IF(M19="","",M19-$D$5)</f>
        <v/>
      </c>
      <c r="O19" s="15">
        <f>IF(C19="","",IF(E19="Aplazado",ROUND(D19*F19/12,2),0))</f>
        <v/>
      </c>
      <c r="P19" s="28">
        <f>IF(C19="","",IF(E19&lt;&gt;"Aplazado","—",IF(D19&lt;=0,0,IFERROR(ROUNDUP(NPER(F19/12,-I19,D19),0),"No amortiza"))))</f>
        <v/>
      </c>
      <c r="Q19" s="15">
        <f>IF(B19="","",SUMIF(Plazos!$C$11:$C$50,B19,Plazos!$K$11:$K$50))</f>
        <v/>
      </c>
      <c r="R19" s="17">
        <f>IF(C19="","",IF(D19&lt;=0,"Sin saldo",IF(AND(N19&gt;=0,N19&lt;=$D$6),"Vence pronto",IF(K19&gt;$D$7,"Utilización alta","Al día"))))</f>
        <v/>
      </c>
      <c r="S19" s="29">
        <f>IF(C19="",9E+15,N19+ROW()/1000)</f>
        <v/>
      </c>
      <c r="T19" s="30">
        <f>IF(C19="","",SUMPRODUCT(--($S$11:$S$30&lt;S19))+1)</f>
        <v/>
      </c>
    </row>
    <row r="20">
      <c r="B20" s="24" t="n"/>
      <c r="C20" s="25" t="n"/>
      <c r="D20" s="25" t="n"/>
      <c r="E20" s="26" t="n"/>
      <c r="F20" s="27" t="n"/>
      <c r="G20" s="22" t="n"/>
      <c r="H20" s="22" t="n"/>
      <c r="I20" s="25" t="n"/>
      <c r="J20" s="15">
        <f>IF(C20="","",C20-D20)</f>
        <v/>
      </c>
      <c r="K20" s="16">
        <f>IF(OR(C20="",C20=0),"",D20/C20)</f>
        <v/>
      </c>
      <c r="L20" s="13">
        <f>IF(G20="","",IF(DAY($D$5)&lt;=G20,DATE(YEAR($D$5),MONTH($D$5),G20),DATE(YEAR($D$5),MONTH($D$5)+1,G20)))</f>
        <v/>
      </c>
      <c r="M20" s="13">
        <f>IF(H20="","",IF(DAY($D$5)&lt;=H20,DATE(YEAR($D$5),MONTH($D$5),H20),DATE(YEAR($D$5),MONTH($D$5)+1,H20)))</f>
        <v/>
      </c>
      <c r="N20" s="14">
        <f>IF(M20="","",M20-$D$5)</f>
        <v/>
      </c>
      <c r="O20" s="15">
        <f>IF(C20="","",IF(E20="Aplazado",ROUND(D20*F20/12,2),0))</f>
        <v/>
      </c>
      <c r="P20" s="28">
        <f>IF(C20="","",IF(E20&lt;&gt;"Aplazado","—",IF(D20&lt;=0,0,IFERROR(ROUNDUP(NPER(F20/12,-I20,D20),0),"No amortiza"))))</f>
        <v/>
      </c>
      <c r="Q20" s="15">
        <f>IF(B20="","",SUMIF(Plazos!$C$11:$C$50,B20,Plazos!$K$11:$K$50))</f>
        <v/>
      </c>
      <c r="R20" s="17">
        <f>IF(C20="","",IF(D20&lt;=0,"Sin saldo",IF(AND(N20&gt;=0,N20&lt;=$D$6),"Vence pronto",IF(K20&gt;$D$7,"Utilización alta","Al día"))))</f>
        <v/>
      </c>
      <c r="S20" s="29">
        <f>IF(C20="",9E+15,N20+ROW()/1000)</f>
        <v/>
      </c>
      <c r="T20" s="30">
        <f>IF(C20="","",SUMPRODUCT(--($S$11:$S$30&lt;S20))+1)</f>
        <v/>
      </c>
    </row>
    <row r="21">
      <c r="B21" s="24" t="n"/>
      <c r="C21" s="25" t="n"/>
      <c r="D21" s="25" t="n"/>
      <c r="E21" s="26" t="n"/>
      <c r="F21" s="27" t="n"/>
      <c r="G21" s="22" t="n"/>
      <c r="H21" s="22" t="n"/>
      <c r="I21" s="25" t="n"/>
      <c r="J21" s="15">
        <f>IF(C21="","",C21-D21)</f>
        <v/>
      </c>
      <c r="K21" s="16">
        <f>IF(OR(C21="",C21=0),"",D21/C21)</f>
        <v/>
      </c>
      <c r="L21" s="13">
        <f>IF(G21="","",IF(DAY($D$5)&lt;=G21,DATE(YEAR($D$5),MONTH($D$5),G21),DATE(YEAR($D$5),MONTH($D$5)+1,G21)))</f>
        <v/>
      </c>
      <c r="M21" s="13">
        <f>IF(H21="","",IF(DAY($D$5)&lt;=H21,DATE(YEAR($D$5),MONTH($D$5),H21),DATE(YEAR($D$5),MONTH($D$5)+1,H21)))</f>
        <v/>
      </c>
      <c r="N21" s="14">
        <f>IF(M21="","",M21-$D$5)</f>
        <v/>
      </c>
      <c r="O21" s="15">
        <f>IF(C21="","",IF(E21="Aplazado",ROUND(D21*F21/12,2),0))</f>
        <v/>
      </c>
      <c r="P21" s="28">
        <f>IF(C21="","",IF(E21&lt;&gt;"Aplazado","—",IF(D21&lt;=0,0,IFERROR(ROUNDUP(NPER(F21/12,-I21,D21),0),"No amortiza"))))</f>
        <v/>
      </c>
      <c r="Q21" s="15">
        <f>IF(B21="","",SUMIF(Plazos!$C$11:$C$50,B21,Plazos!$K$11:$K$50))</f>
        <v/>
      </c>
      <c r="R21" s="17">
        <f>IF(C21="","",IF(D21&lt;=0,"Sin saldo",IF(AND(N21&gt;=0,N21&lt;=$D$6),"Vence pronto",IF(K21&gt;$D$7,"Utilización alta","Al día"))))</f>
        <v/>
      </c>
      <c r="S21" s="29">
        <f>IF(C21="",9E+15,N21+ROW()/1000)</f>
        <v/>
      </c>
      <c r="T21" s="30">
        <f>IF(C21="","",SUMPRODUCT(--($S$11:$S$30&lt;S21))+1)</f>
        <v/>
      </c>
    </row>
    <row r="22">
      <c r="B22" s="24" t="n"/>
      <c r="C22" s="25" t="n"/>
      <c r="D22" s="25" t="n"/>
      <c r="E22" s="26" t="n"/>
      <c r="F22" s="27" t="n"/>
      <c r="G22" s="22" t="n"/>
      <c r="H22" s="22" t="n"/>
      <c r="I22" s="25" t="n"/>
      <c r="J22" s="15">
        <f>IF(C22="","",C22-D22)</f>
        <v/>
      </c>
      <c r="K22" s="16">
        <f>IF(OR(C22="",C22=0),"",D22/C22)</f>
        <v/>
      </c>
      <c r="L22" s="13">
        <f>IF(G22="","",IF(DAY($D$5)&lt;=G22,DATE(YEAR($D$5),MONTH($D$5),G22),DATE(YEAR($D$5),MONTH($D$5)+1,G22)))</f>
        <v/>
      </c>
      <c r="M22" s="13">
        <f>IF(H22="","",IF(DAY($D$5)&lt;=H22,DATE(YEAR($D$5),MONTH($D$5),H22),DATE(YEAR($D$5),MONTH($D$5)+1,H22)))</f>
        <v/>
      </c>
      <c r="N22" s="14">
        <f>IF(M22="","",M22-$D$5)</f>
        <v/>
      </c>
      <c r="O22" s="15">
        <f>IF(C22="","",IF(E22="Aplazado",ROUND(D22*F22/12,2),0))</f>
        <v/>
      </c>
      <c r="P22" s="28">
        <f>IF(C22="","",IF(E22&lt;&gt;"Aplazado","—",IF(D22&lt;=0,0,IFERROR(ROUNDUP(NPER(F22/12,-I22,D22),0),"No amortiza"))))</f>
        <v/>
      </c>
      <c r="Q22" s="15">
        <f>IF(B22="","",SUMIF(Plazos!$C$11:$C$50,B22,Plazos!$K$11:$K$50))</f>
        <v/>
      </c>
      <c r="R22" s="17">
        <f>IF(C22="","",IF(D22&lt;=0,"Sin saldo",IF(AND(N22&gt;=0,N22&lt;=$D$6),"Vence pronto",IF(K22&gt;$D$7,"Utilización alta","Al día"))))</f>
        <v/>
      </c>
      <c r="S22" s="29">
        <f>IF(C22="",9E+15,N22+ROW()/1000)</f>
        <v/>
      </c>
      <c r="T22" s="30">
        <f>IF(C22="","",SUMPRODUCT(--($S$11:$S$30&lt;S22))+1)</f>
        <v/>
      </c>
    </row>
    <row r="23">
      <c r="B23" s="24" t="n"/>
      <c r="C23" s="25" t="n"/>
      <c r="D23" s="25" t="n"/>
      <c r="E23" s="26" t="n"/>
      <c r="F23" s="27" t="n"/>
      <c r="G23" s="22" t="n"/>
      <c r="H23" s="22" t="n"/>
      <c r="I23" s="25" t="n"/>
      <c r="J23" s="15">
        <f>IF(C23="","",C23-D23)</f>
        <v/>
      </c>
      <c r="K23" s="16">
        <f>IF(OR(C23="",C23=0),"",D23/C23)</f>
        <v/>
      </c>
      <c r="L23" s="13">
        <f>IF(G23="","",IF(DAY($D$5)&lt;=G23,DATE(YEAR($D$5),MONTH($D$5),G23),DATE(YEAR($D$5),MONTH($D$5)+1,G23)))</f>
        <v/>
      </c>
      <c r="M23" s="13">
        <f>IF(H23="","",IF(DAY($D$5)&lt;=H23,DATE(YEAR($D$5),MONTH($D$5),H23),DATE(YEAR($D$5),MONTH($D$5)+1,H23)))</f>
        <v/>
      </c>
      <c r="N23" s="14">
        <f>IF(M23="","",M23-$D$5)</f>
        <v/>
      </c>
      <c r="O23" s="15">
        <f>IF(C23="","",IF(E23="Aplazado",ROUND(D23*F23/12,2),0))</f>
        <v/>
      </c>
      <c r="P23" s="28">
        <f>IF(C23="","",IF(E23&lt;&gt;"Aplazado","—",IF(D23&lt;=0,0,IFERROR(ROUNDUP(NPER(F23/12,-I23,D23),0),"No amortiza"))))</f>
        <v/>
      </c>
      <c r="Q23" s="15">
        <f>IF(B23="","",SUMIF(Plazos!$C$11:$C$50,B23,Plazos!$K$11:$K$50))</f>
        <v/>
      </c>
      <c r="R23" s="17">
        <f>IF(C23="","",IF(D23&lt;=0,"Sin saldo",IF(AND(N23&gt;=0,N23&lt;=$D$6),"Vence pronto",IF(K23&gt;$D$7,"Utilización alta","Al día"))))</f>
        <v/>
      </c>
      <c r="S23" s="29">
        <f>IF(C23="",9E+15,N23+ROW()/1000)</f>
        <v/>
      </c>
      <c r="T23" s="30">
        <f>IF(C23="","",SUMPRODUCT(--($S$11:$S$30&lt;S23))+1)</f>
        <v/>
      </c>
    </row>
    <row r="24">
      <c r="B24" s="24" t="n"/>
      <c r="C24" s="25" t="n"/>
      <c r="D24" s="25" t="n"/>
      <c r="E24" s="26" t="n"/>
      <c r="F24" s="27" t="n"/>
      <c r="G24" s="22" t="n"/>
      <c r="H24" s="22" t="n"/>
      <c r="I24" s="25" t="n"/>
      <c r="J24" s="15">
        <f>IF(C24="","",C24-D24)</f>
        <v/>
      </c>
      <c r="K24" s="16">
        <f>IF(OR(C24="",C24=0),"",D24/C24)</f>
        <v/>
      </c>
      <c r="L24" s="13">
        <f>IF(G24="","",IF(DAY($D$5)&lt;=G24,DATE(YEAR($D$5),MONTH($D$5),G24),DATE(YEAR($D$5),MONTH($D$5)+1,G24)))</f>
        <v/>
      </c>
      <c r="M24" s="13">
        <f>IF(H24="","",IF(DAY($D$5)&lt;=H24,DATE(YEAR($D$5),MONTH($D$5),H24),DATE(YEAR($D$5),MONTH($D$5)+1,H24)))</f>
        <v/>
      </c>
      <c r="N24" s="14">
        <f>IF(M24="","",M24-$D$5)</f>
        <v/>
      </c>
      <c r="O24" s="15">
        <f>IF(C24="","",IF(E24="Aplazado",ROUND(D24*F24/12,2),0))</f>
        <v/>
      </c>
      <c r="P24" s="28">
        <f>IF(C24="","",IF(E24&lt;&gt;"Aplazado","—",IF(D24&lt;=0,0,IFERROR(ROUNDUP(NPER(F24/12,-I24,D24),0),"No amortiza"))))</f>
        <v/>
      </c>
      <c r="Q24" s="15">
        <f>IF(B24="","",SUMIF(Plazos!$C$11:$C$50,B24,Plazos!$K$11:$K$50))</f>
        <v/>
      </c>
      <c r="R24" s="17">
        <f>IF(C24="","",IF(D24&lt;=0,"Sin saldo",IF(AND(N24&gt;=0,N24&lt;=$D$6),"Vence pronto",IF(K24&gt;$D$7,"Utilización alta","Al día"))))</f>
        <v/>
      </c>
      <c r="S24" s="29">
        <f>IF(C24="",9E+15,N24+ROW()/1000)</f>
        <v/>
      </c>
      <c r="T24" s="30">
        <f>IF(C24="","",SUMPRODUCT(--($S$11:$S$30&lt;S24))+1)</f>
        <v/>
      </c>
    </row>
    <row r="25">
      <c r="B25" s="24" t="n"/>
      <c r="C25" s="25" t="n"/>
      <c r="D25" s="25" t="n"/>
      <c r="E25" s="26" t="n"/>
      <c r="F25" s="27" t="n"/>
      <c r="G25" s="22" t="n"/>
      <c r="H25" s="22" t="n"/>
      <c r="I25" s="25" t="n"/>
      <c r="J25" s="15">
        <f>IF(C25="","",C25-D25)</f>
        <v/>
      </c>
      <c r="K25" s="16">
        <f>IF(OR(C25="",C25=0),"",D25/C25)</f>
        <v/>
      </c>
      <c r="L25" s="13">
        <f>IF(G25="","",IF(DAY($D$5)&lt;=G25,DATE(YEAR($D$5),MONTH($D$5),G25),DATE(YEAR($D$5),MONTH($D$5)+1,G25)))</f>
        <v/>
      </c>
      <c r="M25" s="13">
        <f>IF(H25="","",IF(DAY($D$5)&lt;=H25,DATE(YEAR($D$5),MONTH($D$5),H25),DATE(YEAR($D$5),MONTH($D$5)+1,H25)))</f>
        <v/>
      </c>
      <c r="N25" s="14">
        <f>IF(M25="","",M25-$D$5)</f>
        <v/>
      </c>
      <c r="O25" s="15">
        <f>IF(C25="","",IF(E25="Aplazado",ROUND(D25*F25/12,2),0))</f>
        <v/>
      </c>
      <c r="P25" s="28">
        <f>IF(C25="","",IF(E25&lt;&gt;"Aplazado","—",IF(D25&lt;=0,0,IFERROR(ROUNDUP(NPER(F25/12,-I25,D25),0),"No amortiza"))))</f>
        <v/>
      </c>
      <c r="Q25" s="15">
        <f>IF(B25="","",SUMIF(Plazos!$C$11:$C$50,B25,Plazos!$K$11:$K$50))</f>
        <v/>
      </c>
      <c r="R25" s="17">
        <f>IF(C25="","",IF(D25&lt;=0,"Sin saldo",IF(AND(N25&gt;=0,N25&lt;=$D$6),"Vence pronto",IF(K25&gt;$D$7,"Utilización alta","Al día"))))</f>
        <v/>
      </c>
      <c r="S25" s="29">
        <f>IF(C25="",9E+15,N25+ROW()/1000)</f>
        <v/>
      </c>
      <c r="T25" s="30">
        <f>IF(C25="","",SUMPRODUCT(--($S$11:$S$30&lt;S25))+1)</f>
        <v/>
      </c>
    </row>
    <row r="26">
      <c r="B26" s="24" t="n"/>
      <c r="C26" s="25" t="n"/>
      <c r="D26" s="25" t="n"/>
      <c r="E26" s="26" t="n"/>
      <c r="F26" s="27" t="n"/>
      <c r="G26" s="22" t="n"/>
      <c r="H26" s="22" t="n"/>
      <c r="I26" s="25" t="n"/>
      <c r="J26" s="15">
        <f>IF(C26="","",C26-D26)</f>
        <v/>
      </c>
      <c r="K26" s="16">
        <f>IF(OR(C26="",C26=0),"",D26/C26)</f>
        <v/>
      </c>
      <c r="L26" s="13">
        <f>IF(G26="","",IF(DAY($D$5)&lt;=G26,DATE(YEAR($D$5),MONTH($D$5),G26),DATE(YEAR($D$5),MONTH($D$5)+1,G26)))</f>
        <v/>
      </c>
      <c r="M26" s="13">
        <f>IF(H26="","",IF(DAY($D$5)&lt;=H26,DATE(YEAR($D$5),MONTH($D$5),H26),DATE(YEAR($D$5),MONTH($D$5)+1,H26)))</f>
        <v/>
      </c>
      <c r="N26" s="14">
        <f>IF(M26="","",M26-$D$5)</f>
        <v/>
      </c>
      <c r="O26" s="15">
        <f>IF(C26="","",IF(E26="Aplazado",ROUND(D26*F26/12,2),0))</f>
        <v/>
      </c>
      <c r="P26" s="28">
        <f>IF(C26="","",IF(E26&lt;&gt;"Aplazado","—",IF(D26&lt;=0,0,IFERROR(ROUNDUP(NPER(F26/12,-I26,D26),0),"No amortiza"))))</f>
        <v/>
      </c>
      <c r="Q26" s="15">
        <f>IF(B26="","",SUMIF(Plazos!$C$11:$C$50,B26,Plazos!$K$11:$K$50))</f>
        <v/>
      </c>
      <c r="R26" s="17">
        <f>IF(C26="","",IF(D26&lt;=0,"Sin saldo",IF(AND(N26&gt;=0,N26&lt;=$D$6),"Vence pronto",IF(K26&gt;$D$7,"Utilización alta","Al día"))))</f>
        <v/>
      </c>
      <c r="S26" s="29">
        <f>IF(C26="",9E+15,N26+ROW()/1000)</f>
        <v/>
      </c>
      <c r="T26" s="30">
        <f>IF(C26="","",SUMPRODUCT(--($S$11:$S$30&lt;S26))+1)</f>
        <v/>
      </c>
    </row>
    <row r="27">
      <c r="B27" s="24" t="n"/>
      <c r="C27" s="25" t="n"/>
      <c r="D27" s="25" t="n"/>
      <c r="E27" s="26" t="n"/>
      <c r="F27" s="27" t="n"/>
      <c r="G27" s="22" t="n"/>
      <c r="H27" s="22" t="n"/>
      <c r="I27" s="25" t="n"/>
      <c r="J27" s="15">
        <f>IF(C27="","",C27-D27)</f>
        <v/>
      </c>
      <c r="K27" s="16">
        <f>IF(OR(C27="",C27=0),"",D27/C27)</f>
        <v/>
      </c>
      <c r="L27" s="13">
        <f>IF(G27="","",IF(DAY($D$5)&lt;=G27,DATE(YEAR($D$5),MONTH($D$5),G27),DATE(YEAR($D$5),MONTH($D$5)+1,G27)))</f>
        <v/>
      </c>
      <c r="M27" s="13">
        <f>IF(H27="","",IF(DAY($D$5)&lt;=H27,DATE(YEAR($D$5),MONTH($D$5),H27),DATE(YEAR($D$5),MONTH($D$5)+1,H27)))</f>
        <v/>
      </c>
      <c r="N27" s="14">
        <f>IF(M27="","",M27-$D$5)</f>
        <v/>
      </c>
      <c r="O27" s="15">
        <f>IF(C27="","",IF(E27="Aplazado",ROUND(D27*F27/12,2),0))</f>
        <v/>
      </c>
      <c r="P27" s="28">
        <f>IF(C27="","",IF(E27&lt;&gt;"Aplazado","—",IF(D27&lt;=0,0,IFERROR(ROUNDUP(NPER(F27/12,-I27,D27),0),"No amortiza"))))</f>
        <v/>
      </c>
      <c r="Q27" s="15">
        <f>IF(B27="","",SUMIF(Plazos!$C$11:$C$50,B27,Plazos!$K$11:$K$50))</f>
        <v/>
      </c>
      <c r="R27" s="17">
        <f>IF(C27="","",IF(D27&lt;=0,"Sin saldo",IF(AND(N27&gt;=0,N27&lt;=$D$6),"Vence pronto",IF(K27&gt;$D$7,"Utilización alta","Al día"))))</f>
        <v/>
      </c>
      <c r="S27" s="29">
        <f>IF(C27="",9E+15,N27+ROW()/1000)</f>
        <v/>
      </c>
      <c r="T27" s="30">
        <f>IF(C27="","",SUMPRODUCT(--($S$11:$S$30&lt;S27))+1)</f>
        <v/>
      </c>
    </row>
    <row r="28">
      <c r="B28" s="24" t="n"/>
      <c r="C28" s="25" t="n"/>
      <c r="D28" s="25" t="n"/>
      <c r="E28" s="26" t="n"/>
      <c r="F28" s="27" t="n"/>
      <c r="G28" s="22" t="n"/>
      <c r="H28" s="22" t="n"/>
      <c r="I28" s="25" t="n"/>
      <c r="J28" s="15">
        <f>IF(C28="","",C28-D28)</f>
        <v/>
      </c>
      <c r="K28" s="16">
        <f>IF(OR(C28="",C28=0),"",D28/C28)</f>
        <v/>
      </c>
      <c r="L28" s="13">
        <f>IF(G28="","",IF(DAY($D$5)&lt;=G28,DATE(YEAR($D$5),MONTH($D$5),G28),DATE(YEAR($D$5),MONTH($D$5)+1,G28)))</f>
        <v/>
      </c>
      <c r="M28" s="13">
        <f>IF(H28="","",IF(DAY($D$5)&lt;=H28,DATE(YEAR($D$5),MONTH($D$5),H28),DATE(YEAR($D$5),MONTH($D$5)+1,H28)))</f>
        <v/>
      </c>
      <c r="N28" s="14">
        <f>IF(M28="","",M28-$D$5)</f>
        <v/>
      </c>
      <c r="O28" s="15">
        <f>IF(C28="","",IF(E28="Aplazado",ROUND(D28*F28/12,2),0))</f>
        <v/>
      </c>
      <c r="P28" s="28">
        <f>IF(C28="","",IF(E28&lt;&gt;"Aplazado","—",IF(D28&lt;=0,0,IFERROR(ROUNDUP(NPER(F28/12,-I28,D28),0),"No amortiza"))))</f>
        <v/>
      </c>
      <c r="Q28" s="15">
        <f>IF(B28="","",SUMIF(Plazos!$C$11:$C$50,B28,Plazos!$K$11:$K$50))</f>
        <v/>
      </c>
      <c r="R28" s="17">
        <f>IF(C28="","",IF(D28&lt;=0,"Sin saldo",IF(AND(N28&gt;=0,N28&lt;=$D$6),"Vence pronto",IF(K28&gt;$D$7,"Utilización alta","Al día"))))</f>
        <v/>
      </c>
      <c r="S28" s="29">
        <f>IF(C28="",9E+15,N28+ROW()/1000)</f>
        <v/>
      </c>
      <c r="T28" s="30">
        <f>IF(C28="","",SUMPRODUCT(--($S$11:$S$30&lt;S28))+1)</f>
        <v/>
      </c>
    </row>
    <row r="29">
      <c r="B29" s="24" t="n"/>
      <c r="C29" s="25" t="n"/>
      <c r="D29" s="25" t="n"/>
      <c r="E29" s="26" t="n"/>
      <c r="F29" s="27" t="n"/>
      <c r="G29" s="22" t="n"/>
      <c r="H29" s="22" t="n"/>
      <c r="I29" s="25" t="n"/>
      <c r="J29" s="15">
        <f>IF(C29="","",C29-D29)</f>
        <v/>
      </c>
      <c r="K29" s="16">
        <f>IF(OR(C29="",C29=0),"",D29/C29)</f>
        <v/>
      </c>
      <c r="L29" s="13">
        <f>IF(G29="","",IF(DAY($D$5)&lt;=G29,DATE(YEAR($D$5),MONTH($D$5),G29),DATE(YEAR($D$5),MONTH($D$5)+1,G29)))</f>
        <v/>
      </c>
      <c r="M29" s="13">
        <f>IF(H29="","",IF(DAY($D$5)&lt;=H29,DATE(YEAR($D$5),MONTH($D$5),H29),DATE(YEAR($D$5),MONTH($D$5)+1,H29)))</f>
        <v/>
      </c>
      <c r="N29" s="14">
        <f>IF(M29="","",M29-$D$5)</f>
        <v/>
      </c>
      <c r="O29" s="15">
        <f>IF(C29="","",IF(E29="Aplazado",ROUND(D29*F29/12,2),0))</f>
        <v/>
      </c>
      <c r="P29" s="28">
        <f>IF(C29="","",IF(E29&lt;&gt;"Aplazado","—",IF(D29&lt;=0,0,IFERROR(ROUNDUP(NPER(F29/12,-I29,D29),0),"No amortiza"))))</f>
        <v/>
      </c>
      <c r="Q29" s="15">
        <f>IF(B29="","",SUMIF(Plazos!$C$11:$C$50,B29,Plazos!$K$11:$K$50))</f>
        <v/>
      </c>
      <c r="R29" s="17">
        <f>IF(C29="","",IF(D29&lt;=0,"Sin saldo",IF(AND(N29&gt;=0,N29&lt;=$D$6),"Vence pronto",IF(K29&gt;$D$7,"Utilización alta","Al día"))))</f>
        <v/>
      </c>
      <c r="S29" s="29">
        <f>IF(C29="",9E+15,N29+ROW()/1000)</f>
        <v/>
      </c>
      <c r="T29" s="30">
        <f>IF(C29="","",SUMPRODUCT(--($S$11:$S$30&lt;S29))+1)</f>
        <v/>
      </c>
    </row>
    <row r="30">
      <c r="B30" s="24" t="n"/>
      <c r="C30" s="25" t="n"/>
      <c r="D30" s="25" t="n"/>
      <c r="E30" s="26" t="n"/>
      <c r="F30" s="27" t="n"/>
      <c r="G30" s="22" t="n"/>
      <c r="H30" s="22" t="n"/>
      <c r="I30" s="25" t="n"/>
      <c r="J30" s="15">
        <f>IF(C30="","",C30-D30)</f>
        <v/>
      </c>
      <c r="K30" s="16">
        <f>IF(OR(C30="",C30=0),"",D30/C30)</f>
        <v/>
      </c>
      <c r="L30" s="13">
        <f>IF(G30="","",IF(DAY($D$5)&lt;=G30,DATE(YEAR($D$5),MONTH($D$5),G30),DATE(YEAR($D$5),MONTH($D$5)+1,G30)))</f>
        <v/>
      </c>
      <c r="M30" s="13">
        <f>IF(H30="","",IF(DAY($D$5)&lt;=H30,DATE(YEAR($D$5),MONTH($D$5),H30),DATE(YEAR($D$5),MONTH($D$5)+1,H30)))</f>
        <v/>
      </c>
      <c r="N30" s="14">
        <f>IF(M30="","",M30-$D$5)</f>
        <v/>
      </c>
      <c r="O30" s="15">
        <f>IF(C30="","",IF(E30="Aplazado",ROUND(D30*F30/12,2),0))</f>
        <v/>
      </c>
      <c r="P30" s="28">
        <f>IF(C30="","",IF(E30&lt;&gt;"Aplazado","—",IF(D30&lt;=0,0,IFERROR(ROUNDUP(NPER(F30/12,-I30,D30),0),"No amortiza"))))</f>
        <v/>
      </c>
      <c r="Q30" s="15">
        <f>IF(B30="","",SUMIF(Plazos!$C$11:$C$50,B30,Plazos!$K$11:$K$50))</f>
        <v/>
      </c>
      <c r="R30" s="17">
        <f>IF(C30="","",IF(D30&lt;=0,"Sin saldo",IF(AND(N30&gt;=0,N30&lt;=$D$6),"Vence pronto",IF(K30&gt;$D$7,"Utilización alta","Al día"))))</f>
        <v/>
      </c>
      <c r="S30" s="29">
        <f>IF(C30="",9E+15,N30+ROW()/1000)</f>
        <v/>
      </c>
      <c r="T30" s="30">
        <f>IF(C30="","",SUMPRODUCT(--($S$11:$S$30&lt;S30))+1)</f>
        <v/>
      </c>
    </row>
    <row r="31">
      <c r="B31" s="20" t="inlineStr">
        <is>
          <t>TOTAL</t>
        </is>
      </c>
      <c r="C31" s="31">
        <f>SUM(C11:C30)</f>
        <v/>
      </c>
      <c r="D31" s="31">
        <f>SUM(D11:D30)</f>
        <v/>
      </c>
      <c r="I31" s="31">
        <f>SUM(I11:I30)</f>
        <v/>
      </c>
      <c r="J31" s="31">
        <f>SUM(J11:J30)</f>
        <v/>
      </c>
      <c r="K31" s="32">
        <f>IF(C31&gt;0,D31/C31,0)</f>
        <v/>
      </c>
      <c r="O31" s="31">
        <f>SUM(O11:O30)</f>
        <v/>
      </c>
      <c r="Q31" s="31">
        <f>SUM(Q11:Q30)</f>
        <v/>
      </c>
    </row>
    <row r="32">
      <c r="B32" s="18" t="inlineStr">
        <is>
          <t>«Pago total»: pagas el saldo completo cada mes y no hay intereses. «Aplazado»: pagas la cuota que indiques y el resto genera intereses (saldo × TAE / 12).</t>
        </is>
      </c>
    </row>
    <row r="33">
      <c r="B33" s="18" t="inlineStr">
        <is>
          <t>Los días de cierre y de pago van de 1 a 28 para que existan todos los meses. Las columnas «Clave orden» y «Orden» son auxiliares (no tocar).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5">
    <mergeCell ref="B6:C6"/>
    <mergeCell ref="B7:C7"/>
    <mergeCell ref="B5:C5"/>
    <mergeCell ref="B2:R2"/>
    <mergeCell ref="B3:R3"/>
  </mergeCells>
  <conditionalFormatting sqref="B11:R30">
    <cfRule type="expression" priority="1" dxfId="0">
      <formula>MOD(ROW(),2)=0</formula>
    </cfRule>
  </conditionalFormatting>
  <conditionalFormatting sqref="R11:R30">
    <cfRule type="cellIs" priority="2" operator="equal" dxfId="1">
      <formula>"Vence pronto"</formula>
    </cfRule>
    <cfRule type="cellIs" priority="3" operator="equal" dxfId="2">
      <formula>"Utilización alta"</formula>
    </cfRule>
    <cfRule type="cellIs" priority="4" operator="equal" dxfId="3">
      <formula>"Al día"</formula>
    </cfRule>
  </conditionalFormatting>
  <conditionalFormatting sqref="K11:K30">
    <cfRule type="expression" priority="5" dxfId="2">
      <formula>AND(ISNUMBER(K11),K11&gt;$D$7)</formula>
    </cfRule>
  </conditionalFormatting>
  <conditionalFormatting sqref="N11:N30">
    <cfRule type="expression" priority="6" dxfId="1">
      <formula>AND(ISNUMBER(N11),N11&lt;=$D$6)</formula>
    </cfRule>
  </conditionalFormatting>
  <conditionalFormatting sqref="D11:D30">
    <cfRule type="dataBar" priority="7">
      <dataBar>
        <cfvo type="num" val="0"/>
        <cfvo type="max"/>
        <color rgb="0034D399"/>
      </dataBar>
    </cfRule>
  </conditionalFormatting>
  <dataValidations count="2">
    <dataValidation sqref="E11:E30" showDropDown="0" showInputMessage="0" showErrorMessage="0" allowBlank="1" type="list">
      <formula1>=Listas!$A$2:$A$3</formula1>
    </dataValidation>
    <dataValidation sqref="G11:H30" showDropDown="0" showInputMessage="0" showErrorMessage="0" allowBlank="1" errorTitle="Día no válido" error="Escribe un día del mes entre 1 y 28." type="whole" operator="between">
      <formula1>1</formula1>
      <formula2>28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M52"/>
  <sheetViews>
    <sheetView showGridLines="0" tabSelected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6" customWidth="1" min="2" max="2"/>
    <col width="26" customWidth="1" min="3" max="3"/>
    <col width="13" customWidth="1" min="4" max="4"/>
    <col width="13" customWidth="1" min="5" max="5"/>
    <col width="9" customWidth="1" min="6" max="6"/>
    <col width="13" customWidth="1" min="7" max="7"/>
    <col width="13" customWidth="1" min="8" max="8"/>
    <col width="11" customWidth="1" min="9" max="9"/>
    <col width="11" customWidth="1" min="10" max="10"/>
    <col width="14" customWidth="1" min="11" max="11"/>
    <col width="14" customWidth="1" min="12" max="12"/>
    <col width="14" customWidth="1" min="13" max="13"/>
  </cols>
  <sheetData>
    <row r="2" ht="34" customHeight="1">
      <c r="B2" s="1" t="inlineStr">
        <is>
          <t>Compras a plazos con tarjeta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Cada compra fraccionada: la cuota, las cuotas pagadas y lo que te queda por pagar se calculan solas.</t>
        </is>
      </c>
    </row>
    <row r="5">
      <c r="B5" s="18" t="inlineStr">
        <is>
          <t>Cada cuota se cobra el mismo día del mes que la compra. La fecha de referencia es la de la hoja Tarjetas (celda D5).</t>
        </is>
      </c>
    </row>
    <row r="6">
      <c r="B6" s="18" t="inlineStr">
        <is>
          <t>Si la compra tiene recargo o comisión por fraccionar, escribe su importe total en «Intereses / comisión»; si es sin intereses, déjalo en 0.</t>
        </is>
      </c>
    </row>
    <row r="10" ht="44" customHeight="1">
      <c r="B10" s="10" t="inlineStr">
        <is>
          <t>Concepto</t>
        </is>
      </c>
      <c r="C10" s="10" t="inlineStr">
        <is>
          <t>Tarjeta</t>
        </is>
      </c>
      <c r="D10" s="10" t="inlineStr">
        <is>
          <t>Fecha de compra</t>
        </is>
      </c>
      <c r="E10" s="10" t="inlineStr">
        <is>
          <t>Importe</t>
        </is>
      </c>
      <c r="F10" s="10" t="inlineStr">
        <is>
          <t>Nº de plazos</t>
        </is>
      </c>
      <c r="G10" s="10" t="inlineStr">
        <is>
          <t>Intereses / comisión</t>
        </is>
      </c>
      <c r="H10" s="10" t="inlineStr">
        <is>
          <t>Cuota mensual</t>
        </is>
      </c>
      <c r="I10" s="10" t="inlineStr">
        <is>
          <t>Cuotas pagadas</t>
        </is>
      </c>
      <c r="J10" s="10" t="inlineStr">
        <is>
          <t>Cuotas pendientes</t>
        </is>
      </c>
      <c r="K10" s="10" t="inlineStr">
        <is>
          <t>Pendiente de pago</t>
        </is>
      </c>
      <c r="L10" s="10" t="inlineStr">
        <is>
          <t>Próxima cuota</t>
        </is>
      </c>
      <c r="M10" s="10" t="inlineStr">
        <is>
          <t>Estado</t>
        </is>
      </c>
    </row>
    <row r="11">
      <c r="B11" s="24" t="inlineStr">
        <is>
          <t>Lavadora</t>
        </is>
      </c>
      <c r="C11" s="24" t="inlineStr">
        <is>
          <t>Tarjeta Electrodomésticos</t>
        </is>
      </c>
      <c r="D11" s="21" t="n">
        <v>46156</v>
      </c>
      <c r="E11" s="25" t="n">
        <v>549</v>
      </c>
      <c r="F11" s="22" t="n">
        <v>12</v>
      </c>
      <c r="G11" s="25" t="n">
        <v>0</v>
      </c>
      <c r="H11" s="15">
        <f>IF(OR(D11="",E11="",F11="",F11&lt;1),"",ROUND((E11+G11)/F11,2))</f>
        <v/>
      </c>
      <c r="I11" s="14">
        <f>IF(H11="","",MIN(F11,MAX(0,(YEAR(Tarjetas!$D$5)-YEAR(D11))*12+MONTH(Tarjetas!$D$5)-MONTH(D11)-IF(DAY(Tarjetas!$D$5)&lt;DAY(D11),1,0))))</f>
        <v/>
      </c>
      <c r="J11" s="14">
        <f>IF(H11="","",F11-I11)</f>
        <v/>
      </c>
      <c r="K11" s="19">
        <f>IF(H11="","",ROUND(J11*H11,2))</f>
        <v/>
      </c>
      <c r="L11" s="13">
        <f>IF(H11="","",IF(J11=0,"—",EDATE(D11,I11+1)))</f>
        <v/>
      </c>
      <c r="M11" s="17">
        <f>IF(H11="","",IF(J11=0,"Liquidada",IF(J11=1,"Última cuota","En curso")))</f>
        <v/>
      </c>
    </row>
    <row r="12">
      <c r="B12" s="24" t="inlineStr">
        <is>
          <t>Portátil</t>
        </is>
      </c>
      <c r="C12" s="24" t="inlineStr">
        <is>
          <t>Mastercard Oro</t>
        </is>
      </c>
      <c r="D12" s="21" t="n">
        <v>46101</v>
      </c>
      <c r="E12" s="25" t="n">
        <v>899</v>
      </c>
      <c r="F12" s="22" t="n">
        <v>18</v>
      </c>
      <c r="G12" s="25" t="n">
        <v>36</v>
      </c>
      <c r="H12" s="15">
        <f>IF(OR(D12="",E12="",F12="",F12&lt;1),"",ROUND((E12+G12)/F12,2))</f>
        <v/>
      </c>
      <c r="I12" s="14">
        <f>IF(H12="","",MIN(F12,MAX(0,(YEAR(Tarjetas!$D$5)-YEAR(D12))*12+MONTH(Tarjetas!$D$5)-MONTH(D12)-IF(DAY(Tarjetas!$D$5)&lt;DAY(D12),1,0))))</f>
        <v/>
      </c>
      <c r="J12" s="14">
        <f>IF(H12="","",F12-I12)</f>
        <v/>
      </c>
      <c r="K12" s="19">
        <f>IF(H12="","",ROUND(J12*H12,2))</f>
        <v/>
      </c>
      <c r="L12" s="13">
        <f>IF(H12="","",IF(J12=0,"—",EDATE(D12,I12+1)))</f>
        <v/>
      </c>
      <c r="M12" s="17">
        <f>IF(H12="","",IF(J12=0,"Liquidada",IF(J12=1,"Última cuota","En curso")))</f>
        <v/>
      </c>
    </row>
    <row r="13">
      <c r="B13" s="24" t="inlineStr">
        <is>
          <t>Billete de avión</t>
        </is>
      </c>
      <c r="C13" s="24" t="inlineStr">
        <is>
          <t>Visa Viajes</t>
        </is>
      </c>
      <c r="D13" s="21" t="n">
        <v>46239</v>
      </c>
      <c r="E13" s="25" t="n">
        <v>480</v>
      </c>
      <c r="F13" s="22" t="n">
        <v>3</v>
      </c>
      <c r="G13" s="25" t="n">
        <v>0</v>
      </c>
      <c r="H13" s="15">
        <f>IF(OR(D13="",E13="",F13="",F13&lt;1),"",ROUND((E13+G13)/F13,2))</f>
        <v/>
      </c>
      <c r="I13" s="14">
        <f>IF(H13="","",MIN(F13,MAX(0,(YEAR(Tarjetas!$D$5)-YEAR(D13))*12+MONTH(Tarjetas!$D$5)-MONTH(D13)-IF(DAY(Tarjetas!$D$5)&lt;DAY(D13),1,0))))</f>
        <v/>
      </c>
      <c r="J13" s="14">
        <f>IF(H13="","",F13-I13)</f>
        <v/>
      </c>
      <c r="K13" s="19">
        <f>IF(H13="","",ROUND(J13*H13,2))</f>
        <v/>
      </c>
      <c r="L13" s="13">
        <f>IF(H13="","",IF(J13=0,"—",EDATE(D13,I13+1)))</f>
        <v/>
      </c>
      <c r="M13" s="17">
        <f>IF(H13="","",IF(J13=0,"Liquidada",IF(J13=1,"Última cuota","En curso")))</f>
        <v/>
      </c>
    </row>
    <row r="14">
      <c r="B14" s="24" t="inlineStr">
        <is>
          <t>Sofá</t>
        </is>
      </c>
      <c r="C14" s="24" t="inlineStr">
        <is>
          <t>Tarjeta Electrodomésticos</t>
        </is>
      </c>
      <c r="D14" s="21" t="n">
        <v>46175</v>
      </c>
      <c r="E14" s="25" t="n">
        <v>1190</v>
      </c>
      <c r="F14" s="22" t="n">
        <v>24</v>
      </c>
      <c r="G14" s="25" t="n">
        <v>142.8</v>
      </c>
      <c r="H14" s="15">
        <f>IF(OR(D14="",E14="",F14="",F14&lt;1),"",ROUND((E14+G14)/F14,2))</f>
        <v/>
      </c>
      <c r="I14" s="14">
        <f>IF(H14="","",MIN(F14,MAX(0,(YEAR(Tarjetas!$D$5)-YEAR(D14))*12+MONTH(Tarjetas!$D$5)-MONTH(D14)-IF(DAY(Tarjetas!$D$5)&lt;DAY(D14),1,0))))</f>
        <v/>
      </c>
      <c r="J14" s="14">
        <f>IF(H14="","",F14-I14)</f>
        <v/>
      </c>
      <c r="K14" s="19">
        <f>IF(H14="","",ROUND(J14*H14,2))</f>
        <v/>
      </c>
      <c r="L14" s="13">
        <f>IF(H14="","",IF(J14=0,"—",EDATE(D14,I14+1)))</f>
        <v/>
      </c>
      <c r="M14" s="17">
        <f>IF(H14="","",IF(J14=0,"Liquidada",IF(J14=1,"Última cuota","En curso")))</f>
        <v/>
      </c>
    </row>
    <row r="15">
      <c r="B15" s="24" t="inlineStr">
        <is>
          <t>Móvil nuevo</t>
        </is>
      </c>
      <c r="C15" s="24" t="inlineStr">
        <is>
          <t>Mastercard Oro</t>
        </is>
      </c>
      <c r="D15" s="21" t="n">
        <v>46214</v>
      </c>
      <c r="E15" s="25" t="n">
        <v>729</v>
      </c>
      <c r="F15" s="22" t="n">
        <v>12</v>
      </c>
      <c r="G15" s="25" t="n">
        <v>0</v>
      </c>
      <c r="H15" s="15">
        <f>IF(OR(D15="",E15="",F15="",F15&lt;1),"",ROUND((E15+G15)/F15,2))</f>
        <v/>
      </c>
      <c r="I15" s="14">
        <f>IF(H15="","",MIN(F15,MAX(0,(YEAR(Tarjetas!$D$5)-YEAR(D15))*12+MONTH(Tarjetas!$D$5)-MONTH(D15)-IF(DAY(Tarjetas!$D$5)&lt;DAY(D15),1,0))))</f>
        <v/>
      </c>
      <c r="J15" s="14">
        <f>IF(H15="","",F15-I15)</f>
        <v/>
      </c>
      <c r="K15" s="19">
        <f>IF(H15="","",ROUND(J15*H15,2))</f>
        <v/>
      </c>
      <c r="L15" s="13">
        <f>IF(H15="","",IF(J15=0,"—",EDATE(D15,I15+1)))</f>
        <v/>
      </c>
      <c r="M15" s="17">
        <f>IF(H15="","",IF(J15=0,"Liquidada",IF(J15=1,"Última cuota","En curso")))</f>
        <v/>
      </c>
    </row>
    <row r="16">
      <c r="B16" s="24" t="inlineStr">
        <is>
          <t>Gafas graduadas</t>
        </is>
      </c>
      <c r="C16" s="24" t="inlineStr">
        <is>
          <t>Visa Clásica</t>
        </is>
      </c>
      <c r="D16" s="21" t="n">
        <v>46266</v>
      </c>
      <c r="E16" s="25" t="n">
        <v>320</v>
      </c>
      <c r="F16" s="22" t="n">
        <v>4</v>
      </c>
      <c r="G16" s="25" t="n">
        <v>0</v>
      </c>
      <c r="H16" s="15">
        <f>IF(OR(D16="",E16="",F16="",F16&lt;1),"",ROUND((E16+G16)/F16,2))</f>
        <v/>
      </c>
      <c r="I16" s="14">
        <f>IF(H16="","",MIN(F16,MAX(0,(YEAR(Tarjetas!$D$5)-YEAR(D16))*12+MONTH(Tarjetas!$D$5)-MONTH(D16)-IF(DAY(Tarjetas!$D$5)&lt;DAY(D16),1,0))))</f>
        <v/>
      </c>
      <c r="J16" s="14">
        <f>IF(H16="","",F16-I16)</f>
        <v/>
      </c>
      <c r="K16" s="19">
        <f>IF(H16="","",ROUND(J16*H16,2))</f>
        <v/>
      </c>
      <c r="L16" s="13">
        <f>IF(H16="","",IF(J16=0,"—",EDATE(D16,I16+1)))</f>
        <v/>
      </c>
      <c r="M16" s="17">
        <f>IF(H16="","",IF(J16=0,"Liquidada",IF(J16=1,"Última cuota","En curso")))</f>
        <v/>
      </c>
    </row>
    <row r="17">
      <c r="B17" s="24" t="inlineStr">
        <is>
          <t>Neumáticos</t>
        </is>
      </c>
      <c r="C17" s="24" t="inlineStr">
        <is>
          <t>Tarjeta Gasolinera</t>
        </is>
      </c>
      <c r="D17" s="21" t="n">
        <v>46130</v>
      </c>
      <c r="E17" s="25" t="n">
        <v>420</v>
      </c>
      <c r="F17" s="22" t="n">
        <v>6</v>
      </c>
      <c r="G17" s="25" t="n">
        <v>0</v>
      </c>
      <c r="H17" s="15">
        <f>IF(OR(D17="",E17="",F17="",F17&lt;1),"",ROUND((E17+G17)/F17,2))</f>
        <v/>
      </c>
      <c r="I17" s="14">
        <f>IF(H17="","",MIN(F17,MAX(0,(YEAR(Tarjetas!$D$5)-YEAR(D17))*12+MONTH(Tarjetas!$D$5)-MONTH(D17)-IF(DAY(Tarjetas!$D$5)&lt;DAY(D17),1,0))))</f>
        <v/>
      </c>
      <c r="J17" s="14">
        <f>IF(H17="","",F17-I17)</f>
        <v/>
      </c>
      <c r="K17" s="19">
        <f>IF(H17="","",ROUND(J17*H17,2))</f>
        <v/>
      </c>
      <c r="L17" s="13">
        <f>IF(H17="","",IF(J17=0,"—",EDATE(D17,I17+1)))</f>
        <v/>
      </c>
      <c r="M17" s="17">
        <f>IF(H17="","",IF(J17=0,"Liquidada",IF(J17=1,"Última cuota","En curso")))</f>
        <v/>
      </c>
    </row>
    <row r="18">
      <c r="B18" s="24" t="inlineStr">
        <is>
          <t>Ropa de temporada</t>
        </is>
      </c>
      <c r="C18" s="24" t="inlineStr">
        <is>
          <t>Tarjeta Tienda Moda</t>
        </is>
      </c>
      <c r="D18" s="21" t="n">
        <v>46277</v>
      </c>
      <c r="E18" s="25" t="n">
        <v>260</v>
      </c>
      <c r="F18" s="22" t="n">
        <v>6</v>
      </c>
      <c r="G18" s="25" t="n">
        <v>18</v>
      </c>
      <c r="H18" s="15">
        <f>IF(OR(D18="",E18="",F18="",F18&lt;1),"",ROUND((E18+G18)/F18,2))</f>
        <v/>
      </c>
      <c r="I18" s="14">
        <f>IF(H18="","",MIN(F18,MAX(0,(YEAR(Tarjetas!$D$5)-YEAR(D18))*12+MONTH(Tarjetas!$D$5)-MONTH(D18)-IF(DAY(Tarjetas!$D$5)&lt;DAY(D18),1,0))))</f>
        <v/>
      </c>
      <c r="J18" s="14">
        <f>IF(H18="","",F18-I18)</f>
        <v/>
      </c>
      <c r="K18" s="19">
        <f>IF(H18="","",ROUND(J18*H18,2))</f>
        <v/>
      </c>
      <c r="L18" s="13">
        <f>IF(H18="","",IF(J18=0,"—",EDATE(D18,I18+1)))</f>
        <v/>
      </c>
      <c r="M18" s="17">
        <f>IF(H18="","",IF(J18=0,"Liquidada",IF(J18=1,"Última cuota","En curso")))</f>
        <v/>
      </c>
    </row>
    <row r="19">
      <c r="B19" s="24" t="inlineStr">
        <is>
          <t>Bicicleta</t>
        </is>
      </c>
      <c r="C19" s="24" t="inlineStr">
        <is>
          <t>Revolving Banco B</t>
        </is>
      </c>
      <c r="D19" s="21" t="n">
        <v>46062</v>
      </c>
      <c r="E19" s="25" t="n">
        <v>650</v>
      </c>
      <c r="F19" s="22" t="n">
        <v>10</v>
      </c>
      <c r="G19" s="25" t="n">
        <v>39</v>
      </c>
      <c r="H19" s="15">
        <f>IF(OR(D19="",E19="",F19="",F19&lt;1),"",ROUND((E19+G19)/F19,2))</f>
        <v/>
      </c>
      <c r="I19" s="14">
        <f>IF(H19="","",MIN(F19,MAX(0,(YEAR(Tarjetas!$D$5)-YEAR(D19))*12+MONTH(Tarjetas!$D$5)-MONTH(D19)-IF(DAY(Tarjetas!$D$5)&lt;DAY(D19),1,0))))</f>
        <v/>
      </c>
      <c r="J19" s="14">
        <f>IF(H19="","",F19-I19)</f>
        <v/>
      </c>
      <c r="K19" s="19">
        <f>IF(H19="","",ROUND(J19*H19,2))</f>
        <v/>
      </c>
      <c r="L19" s="13">
        <f>IF(H19="","",IF(J19=0,"—",EDATE(D19,I19+1)))</f>
        <v/>
      </c>
      <c r="M19" s="17">
        <f>IF(H19="","",IF(J19=0,"Liquidada",IF(J19=1,"Última cuota","En curso")))</f>
        <v/>
      </c>
    </row>
    <row r="20">
      <c r="B20" s="24" t="inlineStr">
        <is>
          <t>Curso de idiomas</t>
        </is>
      </c>
      <c r="C20" s="24" t="inlineStr">
        <is>
          <t>Visa Clásica</t>
        </is>
      </c>
      <c r="D20" s="21" t="n">
        <v>46228</v>
      </c>
      <c r="E20" s="25" t="n">
        <v>390</v>
      </c>
      <c r="F20" s="22" t="n">
        <v>3</v>
      </c>
      <c r="G20" s="25" t="n">
        <v>0</v>
      </c>
      <c r="H20" s="15">
        <f>IF(OR(D20="",E20="",F20="",F20&lt;1),"",ROUND((E20+G20)/F20,2))</f>
        <v/>
      </c>
      <c r="I20" s="14">
        <f>IF(H20="","",MIN(F20,MAX(0,(YEAR(Tarjetas!$D$5)-YEAR(D20))*12+MONTH(Tarjetas!$D$5)-MONTH(D20)-IF(DAY(Tarjetas!$D$5)&lt;DAY(D20),1,0))))</f>
        <v/>
      </c>
      <c r="J20" s="14">
        <f>IF(H20="","",F20-I20)</f>
        <v/>
      </c>
      <c r="K20" s="19">
        <f>IF(H20="","",ROUND(J20*H20,2))</f>
        <v/>
      </c>
      <c r="L20" s="13">
        <f>IF(H20="","",IF(J20=0,"—",EDATE(D20,I20+1)))</f>
        <v/>
      </c>
      <c r="M20" s="17">
        <f>IF(H20="","",IF(J20=0,"Liquidada",IF(J20=1,"Última cuota","En curso")))</f>
        <v/>
      </c>
    </row>
    <row r="21">
      <c r="B21" s="24" t="inlineStr">
        <is>
          <t>Televisor</t>
        </is>
      </c>
      <c r="C21" s="24" t="inlineStr">
        <is>
          <t>Tarjeta Electrodomésticos</t>
        </is>
      </c>
      <c r="D21" s="21" t="n">
        <v>46285</v>
      </c>
      <c r="E21" s="25" t="n">
        <v>780</v>
      </c>
      <c r="F21" s="22" t="n">
        <v>12</v>
      </c>
      <c r="G21" s="25" t="n">
        <v>0</v>
      </c>
      <c r="H21" s="15">
        <f>IF(OR(D21="",E21="",F21="",F21&lt;1),"",ROUND((E21+G21)/F21,2))</f>
        <v/>
      </c>
      <c r="I21" s="14">
        <f>IF(H21="","",MIN(F21,MAX(0,(YEAR(Tarjetas!$D$5)-YEAR(D21))*12+MONTH(Tarjetas!$D$5)-MONTH(D21)-IF(DAY(Tarjetas!$D$5)&lt;DAY(D21),1,0))))</f>
        <v/>
      </c>
      <c r="J21" s="14">
        <f>IF(H21="","",F21-I21)</f>
        <v/>
      </c>
      <c r="K21" s="19">
        <f>IF(H21="","",ROUND(J21*H21,2))</f>
        <v/>
      </c>
      <c r="L21" s="13">
        <f>IF(H21="","",IF(J21=0,"—",EDATE(D21,I21+1)))</f>
        <v/>
      </c>
      <c r="M21" s="17">
        <f>IF(H21="","",IF(J21=0,"Liquidada",IF(J21=1,"Última cuota","En curso")))</f>
        <v/>
      </c>
    </row>
    <row r="22">
      <c r="B22" s="24" t="inlineStr">
        <is>
          <t>Dentista</t>
        </is>
      </c>
      <c r="C22" s="24" t="inlineStr">
        <is>
          <t>Mastercard Oro</t>
        </is>
      </c>
      <c r="D22" s="21" t="n">
        <v>46252</v>
      </c>
      <c r="E22" s="25" t="n">
        <v>600</v>
      </c>
      <c r="F22" s="22" t="n">
        <v>6</v>
      </c>
      <c r="G22" s="25" t="n">
        <v>0</v>
      </c>
      <c r="H22" s="15">
        <f>IF(OR(D22="",E22="",F22="",F22&lt;1),"",ROUND((E22+G22)/F22,2))</f>
        <v/>
      </c>
      <c r="I22" s="14">
        <f>IF(H22="","",MIN(F22,MAX(0,(YEAR(Tarjetas!$D$5)-YEAR(D22))*12+MONTH(Tarjetas!$D$5)-MONTH(D22)-IF(DAY(Tarjetas!$D$5)&lt;DAY(D22),1,0))))</f>
        <v/>
      </c>
      <c r="J22" s="14">
        <f>IF(H22="","",F22-I22)</f>
        <v/>
      </c>
      <c r="K22" s="19">
        <f>IF(H22="","",ROUND(J22*H22,2))</f>
        <v/>
      </c>
      <c r="L22" s="13">
        <f>IF(H22="","",IF(J22=0,"—",EDATE(D22,I22+1)))</f>
        <v/>
      </c>
      <c r="M22" s="17">
        <f>IF(H22="","",IF(J22=0,"Liquidada",IF(J22=1,"Última cuota","En curso")))</f>
        <v/>
      </c>
    </row>
    <row r="23">
      <c r="B23" s="24" t="n"/>
      <c r="C23" s="24" t="n"/>
      <c r="D23" s="21" t="n"/>
      <c r="E23" s="25" t="n"/>
      <c r="F23" s="22" t="n"/>
      <c r="G23" s="25" t="n"/>
      <c r="H23" s="15">
        <f>IF(OR(D23="",E23="",F23="",F23&lt;1),"",ROUND((E23+G23)/F23,2))</f>
        <v/>
      </c>
      <c r="I23" s="14">
        <f>IF(H23="","",MIN(F23,MAX(0,(YEAR(Tarjetas!$D$5)-YEAR(D23))*12+MONTH(Tarjetas!$D$5)-MONTH(D23)-IF(DAY(Tarjetas!$D$5)&lt;DAY(D23),1,0))))</f>
        <v/>
      </c>
      <c r="J23" s="14">
        <f>IF(H23="","",F23-I23)</f>
        <v/>
      </c>
      <c r="K23" s="19">
        <f>IF(H23="","",ROUND(J23*H23,2))</f>
        <v/>
      </c>
      <c r="L23" s="13">
        <f>IF(H23="","",IF(J23=0,"—",EDATE(D23,I23+1)))</f>
        <v/>
      </c>
      <c r="M23" s="17">
        <f>IF(H23="","",IF(J23=0,"Liquidada",IF(J23=1,"Última cuota","En curso")))</f>
        <v/>
      </c>
    </row>
    <row r="24">
      <c r="B24" s="24" t="n"/>
      <c r="C24" s="24" t="n"/>
      <c r="D24" s="21" t="n"/>
      <c r="E24" s="25" t="n"/>
      <c r="F24" s="22" t="n"/>
      <c r="G24" s="25" t="n"/>
      <c r="H24" s="15">
        <f>IF(OR(D24="",E24="",F24="",F24&lt;1),"",ROUND((E24+G24)/F24,2))</f>
        <v/>
      </c>
      <c r="I24" s="14">
        <f>IF(H24="","",MIN(F24,MAX(0,(YEAR(Tarjetas!$D$5)-YEAR(D24))*12+MONTH(Tarjetas!$D$5)-MONTH(D24)-IF(DAY(Tarjetas!$D$5)&lt;DAY(D24),1,0))))</f>
        <v/>
      </c>
      <c r="J24" s="14">
        <f>IF(H24="","",F24-I24)</f>
        <v/>
      </c>
      <c r="K24" s="19">
        <f>IF(H24="","",ROUND(J24*H24,2))</f>
        <v/>
      </c>
      <c r="L24" s="13">
        <f>IF(H24="","",IF(J24=0,"—",EDATE(D24,I24+1)))</f>
        <v/>
      </c>
      <c r="M24" s="17">
        <f>IF(H24="","",IF(J24=0,"Liquidada",IF(J24=1,"Última cuota","En curso")))</f>
        <v/>
      </c>
    </row>
    <row r="25">
      <c r="B25" s="24" t="n"/>
      <c r="C25" s="24" t="n"/>
      <c r="D25" s="21" t="n"/>
      <c r="E25" s="25" t="n"/>
      <c r="F25" s="22" t="n"/>
      <c r="G25" s="25" t="n"/>
      <c r="H25" s="15">
        <f>IF(OR(D25="",E25="",F25="",F25&lt;1),"",ROUND((E25+G25)/F25,2))</f>
        <v/>
      </c>
      <c r="I25" s="14">
        <f>IF(H25="","",MIN(F25,MAX(0,(YEAR(Tarjetas!$D$5)-YEAR(D25))*12+MONTH(Tarjetas!$D$5)-MONTH(D25)-IF(DAY(Tarjetas!$D$5)&lt;DAY(D25),1,0))))</f>
        <v/>
      </c>
      <c r="J25" s="14">
        <f>IF(H25="","",F25-I25)</f>
        <v/>
      </c>
      <c r="K25" s="19">
        <f>IF(H25="","",ROUND(J25*H25,2))</f>
        <v/>
      </c>
      <c r="L25" s="13">
        <f>IF(H25="","",IF(J25=0,"—",EDATE(D25,I25+1)))</f>
        <v/>
      </c>
      <c r="M25" s="17">
        <f>IF(H25="","",IF(J25=0,"Liquidada",IF(J25=1,"Última cuota","En curso")))</f>
        <v/>
      </c>
    </row>
    <row r="26">
      <c r="B26" s="24" t="n"/>
      <c r="C26" s="24" t="n"/>
      <c r="D26" s="21" t="n"/>
      <c r="E26" s="25" t="n"/>
      <c r="F26" s="22" t="n"/>
      <c r="G26" s="25" t="n"/>
      <c r="H26" s="15">
        <f>IF(OR(D26="",E26="",F26="",F26&lt;1),"",ROUND((E26+G26)/F26,2))</f>
        <v/>
      </c>
      <c r="I26" s="14">
        <f>IF(H26="","",MIN(F26,MAX(0,(YEAR(Tarjetas!$D$5)-YEAR(D26))*12+MONTH(Tarjetas!$D$5)-MONTH(D26)-IF(DAY(Tarjetas!$D$5)&lt;DAY(D26),1,0))))</f>
        <v/>
      </c>
      <c r="J26" s="14">
        <f>IF(H26="","",F26-I26)</f>
        <v/>
      </c>
      <c r="K26" s="19">
        <f>IF(H26="","",ROUND(J26*H26,2))</f>
        <v/>
      </c>
      <c r="L26" s="13">
        <f>IF(H26="","",IF(J26=0,"—",EDATE(D26,I26+1)))</f>
        <v/>
      </c>
      <c r="M26" s="17">
        <f>IF(H26="","",IF(J26=0,"Liquidada",IF(J26=1,"Última cuota","En curso")))</f>
        <v/>
      </c>
    </row>
    <row r="27">
      <c r="B27" s="24" t="n"/>
      <c r="C27" s="24" t="n"/>
      <c r="D27" s="21" t="n"/>
      <c r="E27" s="25" t="n"/>
      <c r="F27" s="22" t="n"/>
      <c r="G27" s="25" t="n"/>
      <c r="H27" s="15">
        <f>IF(OR(D27="",E27="",F27="",F27&lt;1),"",ROUND((E27+G27)/F27,2))</f>
        <v/>
      </c>
      <c r="I27" s="14">
        <f>IF(H27="","",MIN(F27,MAX(0,(YEAR(Tarjetas!$D$5)-YEAR(D27))*12+MONTH(Tarjetas!$D$5)-MONTH(D27)-IF(DAY(Tarjetas!$D$5)&lt;DAY(D27),1,0))))</f>
        <v/>
      </c>
      <c r="J27" s="14">
        <f>IF(H27="","",F27-I27)</f>
        <v/>
      </c>
      <c r="K27" s="19">
        <f>IF(H27="","",ROUND(J27*H27,2))</f>
        <v/>
      </c>
      <c r="L27" s="13">
        <f>IF(H27="","",IF(J27=0,"—",EDATE(D27,I27+1)))</f>
        <v/>
      </c>
      <c r="M27" s="17">
        <f>IF(H27="","",IF(J27=0,"Liquidada",IF(J27=1,"Última cuota","En curso")))</f>
        <v/>
      </c>
    </row>
    <row r="28">
      <c r="B28" s="24" t="n"/>
      <c r="C28" s="24" t="n"/>
      <c r="D28" s="21" t="n"/>
      <c r="E28" s="25" t="n"/>
      <c r="F28" s="22" t="n"/>
      <c r="G28" s="25" t="n"/>
      <c r="H28" s="15">
        <f>IF(OR(D28="",E28="",F28="",F28&lt;1),"",ROUND((E28+G28)/F28,2))</f>
        <v/>
      </c>
      <c r="I28" s="14">
        <f>IF(H28="","",MIN(F28,MAX(0,(YEAR(Tarjetas!$D$5)-YEAR(D28))*12+MONTH(Tarjetas!$D$5)-MONTH(D28)-IF(DAY(Tarjetas!$D$5)&lt;DAY(D28),1,0))))</f>
        <v/>
      </c>
      <c r="J28" s="14">
        <f>IF(H28="","",F28-I28)</f>
        <v/>
      </c>
      <c r="K28" s="19">
        <f>IF(H28="","",ROUND(J28*H28,2))</f>
        <v/>
      </c>
      <c r="L28" s="13">
        <f>IF(H28="","",IF(J28=0,"—",EDATE(D28,I28+1)))</f>
        <v/>
      </c>
      <c r="M28" s="17">
        <f>IF(H28="","",IF(J28=0,"Liquidada",IF(J28=1,"Última cuota","En curso")))</f>
        <v/>
      </c>
    </row>
    <row r="29">
      <c r="B29" s="24" t="n"/>
      <c r="C29" s="24" t="n"/>
      <c r="D29" s="21" t="n"/>
      <c r="E29" s="25" t="n"/>
      <c r="F29" s="22" t="n"/>
      <c r="G29" s="25" t="n"/>
      <c r="H29" s="15">
        <f>IF(OR(D29="",E29="",F29="",F29&lt;1),"",ROUND((E29+G29)/F29,2))</f>
        <v/>
      </c>
      <c r="I29" s="14">
        <f>IF(H29="","",MIN(F29,MAX(0,(YEAR(Tarjetas!$D$5)-YEAR(D29))*12+MONTH(Tarjetas!$D$5)-MONTH(D29)-IF(DAY(Tarjetas!$D$5)&lt;DAY(D29),1,0))))</f>
        <v/>
      </c>
      <c r="J29" s="14">
        <f>IF(H29="","",F29-I29)</f>
        <v/>
      </c>
      <c r="K29" s="19">
        <f>IF(H29="","",ROUND(J29*H29,2))</f>
        <v/>
      </c>
      <c r="L29" s="13">
        <f>IF(H29="","",IF(J29=0,"—",EDATE(D29,I29+1)))</f>
        <v/>
      </c>
      <c r="M29" s="17">
        <f>IF(H29="","",IF(J29=0,"Liquidada",IF(J29=1,"Última cuota","En curso")))</f>
        <v/>
      </c>
    </row>
    <row r="30">
      <c r="B30" s="24" t="n"/>
      <c r="C30" s="24" t="n"/>
      <c r="D30" s="21" t="n"/>
      <c r="E30" s="25" t="n"/>
      <c r="F30" s="22" t="n"/>
      <c r="G30" s="25" t="n"/>
      <c r="H30" s="15">
        <f>IF(OR(D30="",E30="",F30="",F30&lt;1),"",ROUND((E30+G30)/F30,2))</f>
        <v/>
      </c>
      <c r="I30" s="14">
        <f>IF(H30="","",MIN(F30,MAX(0,(YEAR(Tarjetas!$D$5)-YEAR(D30))*12+MONTH(Tarjetas!$D$5)-MONTH(D30)-IF(DAY(Tarjetas!$D$5)&lt;DAY(D30),1,0))))</f>
        <v/>
      </c>
      <c r="J30" s="14">
        <f>IF(H30="","",F30-I30)</f>
        <v/>
      </c>
      <c r="K30" s="19">
        <f>IF(H30="","",ROUND(J30*H30,2))</f>
        <v/>
      </c>
      <c r="L30" s="13">
        <f>IF(H30="","",IF(J30=0,"—",EDATE(D30,I30+1)))</f>
        <v/>
      </c>
      <c r="M30" s="17">
        <f>IF(H30="","",IF(J30=0,"Liquidada",IF(J30=1,"Última cuota","En curso")))</f>
        <v/>
      </c>
    </row>
    <row r="31">
      <c r="B31" s="24" t="n"/>
      <c r="C31" s="24" t="n"/>
      <c r="D31" s="21" t="n"/>
      <c r="E31" s="25" t="n"/>
      <c r="F31" s="22" t="n"/>
      <c r="G31" s="25" t="n"/>
      <c r="H31" s="15">
        <f>IF(OR(D31="",E31="",F31="",F31&lt;1),"",ROUND((E31+G31)/F31,2))</f>
        <v/>
      </c>
      <c r="I31" s="14">
        <f>IF(H31="","",MIN(F31,MAX(0,(YEAR(Tarjetas!$D$5)-YEAR(D31))*12+MONTH(Tarjetas!$D$5)-MONTH(D31)-IF(DAY(Tarjetas!$D$5)&lt;DAY(D31),1,0))))</f>
        <v/>
      </c>
      <c r="J31" s="14">
        <f>IF(H31="","",F31-I31)</f>
        <v/>
      </c>
      <c r="K31" s="19">
        <f>IF(H31="","",ROUND(J31*H31,2))</f>
        <v/>
      </c>
      <c r="L31" s="13">
        <f>IF(H31="","",IF(J31=0,"—",EDATE(D31,I31+1)))</f>
        <v/>
      </c>
      <c r="M31" s="17">
        <f>IF(H31="","",IF(J31=0,"Liquidada",IF(J31=1,"Última cuota","En curso")))</f>
        <v/>
      </c>
    </row>
    <row r="32">
      <c r="B32" s="24" t="n"/>
      <c r="C32" s="24" t="n"/>
      <c r="D32" s="21" t="n"/>
      <c r="E32" s="25" t="n"/>
      <c r="F32" s="22" t="n"/>
      <c r="G32" s="25" t="n"/>
      <c r="H32" s="15">
        <f>IF(OR(D32="",E32="",F32="",F32&lt;1),"",ROUND((E32+G32)/F32,2))</f>
        <v/>
      </c>
      <c r="I32" s="14">
        <f>IF(H32="","",MIN(F32,MAX(0,(YEAR(Tarjetas!$D$5)-YEAR(D32))*12+MONTH(Tarjetas!$D$5)-MONTH(D32)-IF(DAY(Tarjetas!$D$5)&lt;DAY(D32),1,0))))</f>
        <v/>
      </c>
      <c r="J32" s="14">
        <f>IF(H32="","",F32-I32)</f>
        <v/>
      </c>
      <c r="K32" s="19">
        <f>IF(H32="","",ROUND(J32*H32,2))</f>
        <v/>
      </c>
      <c r="L32" s="13">
        <f>IF(H32="","",IF(J32=0,"—",EDATE(D32,I32+1)))</f>
        <v/>
      </c>
      <c r="M32" s="17">
        <f>IF(H32="","",IF(J32=0,"Liquidada",IF(J32=1,"Última cuota","En curso")))</f>
        <v/>
      </c>
    </row>
    <row r="33">
      <c r="B33" s="24" t="n"/>
      <c r="C33" s="24" t="n"/>
      <c r="D33" s="21" t="n"/>
      <c r="E33" s="25" t="n"/>
      <c r="F33" s="22" t="n"/>
      <c r="G33" s="25" t="n"/>
      <c r="H33" s="15">
        <f>IF(OR(D33="",E33="",F33="",F33&lt;1),"",ROUND((E33+G33)/F33,2))</f>
        <v/>
      </c>
      <c r="I33" s="14">
        <f>IF(H33="","",MIN(F33,MAX(0,(YEAR(Tarjetas!$D$5)-YEAR(D33))*12+MONTH(Tarjetas!$D$5)-MONTH(D33)-IF(DAY(Tarjetas!$D$5)&lt;DAY(D33),1,0))))</f>
        <v/>
      </c>
      <c r="J33" s="14">
        <f>IF(H33="","",F33-I33)</f>
        <v/>
      </c>
      <c r="K33" s="19">
        <f>IF(H33="","",ROUND(J33*H33,2))</f>
        <v/>
      </c>
      <c r="L33" s="13">
        <f>IF(H33="","",IF(J33=0,"—",EDATE(D33,I33+1)))</f>
        <v/>
      </c>
      <c r="M33" s="17">
        <f>IF(H33="","",IF(J33=0,"Liquidada",IF(J33=1,"Última cuota","En curso")))</f>
        <v/>
      </c>
    </row>
    <row r="34">
      <c r="B34" s="24" t="n"/>
      <c r="C34" s="24" t="n"/>
      <c r="D34" s="21" t="n"/>
      <c r="E34" s="25" t="n"/>
      <c r="F34" s="22" t="n"/>
      <c r="G34" s="25" t="n"/>
      <c r="H34" s="15">
        <f>IF(OR(D34="",E34="",F34="",F34&lt;1),"",ROUND((E34+G34)/F34,2))</f>
        <v/>
      </c>
      <c r="I34" s="14">
        <f>IF(H34="","",MIN(F34,MAX(0,(YEAR(Tarjetas!$D$5)-YEAR(D34))*12+MONTH(Tarjetas!$D$5)-MONTH(D34)-IF(DAY(Tarjetas!$D$5)&lt;DAY(D34),1,0))))</f>
        <v/>
      </c>
      <c r="J34" s="14">
        <f>IF(H34="","",F34-I34)</f>
        <v/>
      </c>
      <c r="K34" s="19">
        <f>IF(H34="","",ROUND(J34*H34,2))</f>
        <v/>
      </c>
      <c r="L34" s="13">
        <f>IF(H34="","",IF(J34=0,"—",EDATE(D34,I34+1)))</f>
        <v/>
      </c>
      <c r="M34" s="17">
        <f>IF(H34="","",IF(J34=0,"Liquidada",IF(J34=1,"Última cuota","En curso")))</f>
        <v/>
      </c>
    </row>
    <row r="35">
      <c r="B35" s="24" t="n"/>
      <c r="C35" s="24" t="n"/>
      <c r="D35" s="21" t="n"/>
      <c r="E35" s="25" t="n"/>
      <c r="F35" s="22" t="n"/>
      <c r="G35" s="25" t="n"/>
      <c r="H35" s="15">
        <f>IF(OR(D35="",E35="",F35="",F35&lt;1),"",ROUND((E35+G35)/F35,2))</f>
        <v/>
      </c>
      <c r="I35" s="14">
        <f>IF(H35="","",MIN(F35,MAX(0,(YEAR(Tarjetas!$D$5)-YEAR(D35))*12+MONTH(Tarjetas!$D$5)-MONTH(D35)-IF(DAY(Tarjetas!$D$5)&lt;DAY(D35),1,0))))</f>
        <v/>
      </c>
      <c r="J35" s="14">
        <f>IF(H35="","",F35-I35)</f>
        <v/>
      </c>
      <c r="K35" s="19">
        <f>IF(H35="","",ROUND(J35*H35,2))</f>
        <v/>
      </c>
      <c r="L35" s="13">
        <f>IF(H35="","",IF(J35=0,"—",EDATE(D35,I35+1)))</f>
        <v/>
      </c>
      <c r="M35" s="17">
        <f>IF(H35="","",IF(J35=0,"Liquidada",IF(J35=1,"Última cuota","En curso")))</f>
        <v/>
      </c>
    </row>
    <row r="36">
      <c r="B36" s="24" t="n"/>
      <c r="C36" s="24" t="n"/>
      <c r="D36" s="21" t="n"/>
      <c r="E36" s="25" t="n"/>
      <c r="F36" s="22" t="n"/>
      <c r="G36" s="25" t="n"/>
      <c r="H36" s="15">
        <f>IF(OR(D36="",E36="",F36="",F36&lt;1),"",ROUND((E36+G36)/F36,2))</f>
        <v/>
      </c>
      <c r="I36" s="14">
        <f>IF(H36="","",MIN(F36,MAX(0,(YEAR(Tarjetas!$D$5)-YEAR(D36))*12+MONTH(Tarjetas!$D$5)-MONTH(D36)-IF(DAY(Tarjetas!$D$5)&lt;DAY(D36),1,0))))</f>
        <v/>
      </c>
      <c r="J36" s="14">
        <f>IF(H36="","",F36-I36)</f>
        <v/>
      </c>
      <c r="K36" s="19">
        <f>IF(H36="","",ROUND(J36*H36,2))</f>
        <v/>
      </c>
      <c r="L36" s="13">
        <f>IF(H36="","",IF(J36=0,"—",EDATE(D36,I36+1)))</f>
        <v/>
      </c>
      <c r="M36" s="17">
        <f>IF(H36="","",IF(J36=0,"Liquidada",IF(J36=1,"Última cuota","En curso")))</f>
        <v/>
      </c>
    </row>
    <row r="37">
      <c r="B37" s="24" t="n"/>
      <c r="C37" s="24" t="n"/>
      <c r="D37" s="21" t="n"/>
      <c r="E37" s="25" t="n"/>
      <c r="F37" s="22" t="n"/>
      <c r="G37" s="25" t="n"/>
      <c r="H37" s="15">
        <f>IF(OR(D37="",E37="",F37="",F37&lt;1),"",ROUND((E37+G37)/F37,2))</f>
        <v/>
      </c>
      <c r="I37" s="14">
        <f>IF(H37="","",MIN(F37,MAX(0,(YEAR(Tarjetas!$D$5)-YEAR(D37))*12+MONTH(Tarjetas!$D$5)-MONTH(D37)-IF(DAY(Tarjetas!$D$5)&lt;DAY(D37),1,0))))</f>
        <v/>
      </c>
      <c r="J37" s="14">
        <f>IF(H37="","",F37-I37)</f>
        <v/>
      </c>
      <c r="K37" s="19">
        <f>IF(H37="","",ROUND(J37*H37,2))</f>
        <v/>
      </c>
      <c r="L37" s="13">
        <f>IF(H37="","",IF(J37=0,"—",EDATE(D37,I37+1)))</f>
        <v/>
      </c>
      <c r="M37" s="17">
        <f>IF(H37="","",IF(J37=0,"Liquidada",IF(J37=1,"Última cuota","En curso")))</f>
        <v/>
      </c>
    </row>
    <row r="38">
      <c r="B38" s="24" t="n"/>
      <c r="C38" s="24" t="n"/>
      <c r="D38" s="21" t="n"/>
      <c r="E38" s="25" t="n"/>
      <c r="F38" s="22" t="n"/>
      <c r="G38" s="25" t="n"/>
      <c r="H38" s="15">
        <f>IF(OR(D38="",E38="",F38="",F38&lt;1),"",ROUND((E38+G38)/F38,2))</f>
        <v/>
      </c>
      <c r="I38" s="14">
        <f>IF(H38="","",MIN(F38,MAX(0,(YEAR(Tarjetas!$D$5)-YEAR(D38))*12+MONTH(Tarjetas!$D$5)-MONTH(D38)-IF(DAY(Tarjetas!$D$5)&lt;DAY(D38),1,0))))</f>
        <v/>
      </c>
      <c r="J38" s="14">
        <f>IF(H38="","",F38-I38)</f>
        <v/>
      </c>
      <c r="K38" s="19">
        <f>IF(H38="","",ROUND(J38*H38,2))</f>
        <v/>
      </c>
      <c r="L38" s="13">
        <f>IF(H38="","",IF(J38=0,"—",EDATE(D38,I38+1)))</f>
        <v/>
      </c>
      <c r="M38" s="17">
        <f>IF(H38="","",IF(J38=0,"Liquidada",IF(J38=1,"Última cuota","En curso")))</f>
        <v/>
      </c>
    </row>
    <row r="39">
      <c r="B39" s="24" t="n"/>
      <c r="C39" s="24" t="n"/>
      <c r="D39" s="21" t="n"/>
      <c r="E39" s="25" t="n"/>
      <c r="F39" s="22" t="n"/>
      <c r="G39" s="25" t="n"/>
      <c r="H39" s="15">
        <f>IF(OR(D39="",E39="",F39="",F39&lt;1),"",ROUND((E39+G39)/F39,2))</f>
        <v/>
      </c>
      <c r="I39" s="14">
        <f>IF(H39="","",MIN(F39,MAX(0,(YEAR(Tarjetas!$D$5)-YEAR(D39))*12+MONTH(Tarjetas!$D$5)-MONTH(D39)-IF(DAY(Tarjetas!$D$5)&lt;DAY(D39),1,0))))</f>
        <v/>
      </c>
      <c r="J39" s="14">
        <f>IF(H39="","",F39-I39)</f>
        <v/>
      </c>
      <c r="K39" s="19">
        <f>IF(H39="","",ROUND(J39*H39,2))</f>
        <v/>
      </c>
      <c r="L39" s="13">
        <f>IF(H39="","",IF(J39=0,"—",EDATE(D39,I39+1)))</f>
        <v/>
      </c>
      <c r="M39" s="17">
        <f>IF(H39="","",IF(J39=0,"Liquidada",IF(J39=1,"Última cuota","En curso")))</f>
        <v/>
      </c>
    </row>
    <row r="40">
      <c r="B40" s="24" t="n"/>
      <c r="C40" s="24" t="n"/>
      <c r="D40" s="21" t="n"/>
      <c r="E40" s="25" t="n"/>
      <c r="F40" s="22" t="n"/>
      <c r="G40" s="25" t="n"/>
      <c r="H40" s="15">
        <f>IF(OR(D40="",E40="",F40="",F40&lt;1),"",ROUND((E40+G40)/F40,2))</f>
        <v/>
      </c>
      <c r="I40" s="14">
        <f>IF(H40="","",MIN(F40,MAX(0,(YEAR(Tarjetas!$D$5)-YEAR(D40))*12+MONTH(Tarjetas!$D$5)-MONTH(D40)-IF(DAY(Tarjetas!$D$5)&lt;DAY(D40),1,0))))</f>
        <v/>
      </c>
      <c r="J40" s="14">
        <f>IF(H40="","",F40-I40)</f>
        <v/>
      </c>
      <c r="K40" s="19">
        <f>IF(H40="","",ROUND(J40*H40,2))</f>
        <v/>
      </c>
      <c r="L40" s="13">
        <f>IF(H40="","",IF(J40=0,"—",EDATE(D40,I40+1)))</f>
        <v/>
      </c>
      <c r="M40" s="17">
        <f>IF(H40="","",IF(J40=0,"Liquidada",IF(J40=1,"Última cuota","En curso")))</f>
        <v/>
      </c>
    </row>
    <row r="41">
      <c r="B41" s="24" t="n"/>
      <c r="C41" s="24" t="n"/>
      <c r="D41" s="21" t="n"/>
      <c r="E41" s="25" t="n"/>
      <c r="F41" s="22" t="n"/>
      <c r="G41" s="25" t="n"/>
      <c r="H41" s="15">
        <f>IF(OR(D41="",E41="",F41="",F41&lt;1),"",ROUND((E41+G41)/F41,2))</f>
        <v/>
      </c>
      <c r="I41" s="14">
        <f>IF(H41="","",MIN(F41,MAX(0,(YEAR(Tarjetas!$D$5)-YEAR(D41))*12+MONTH(Tarjetas!$D$5)-MONTH(D41)-IF(DAY(Tarjetas!$D$5)&lt;DAY(D41),1,0))))</f>
        <v/>
      </c>
      <c r="J41" s="14">
        <f>IF(H41="","",F41-I41)</f>
        <v/>
      </c>
      <c r="K41" s="19">
        <f>IF(H41="","",ROUND(J41*H41,2))</f>
        <v/>
      </c>
      <c r="L41" s="13">
        <f>IF(H41="","",IF(J41=0,"—",EDATE(D41,I41+1)))</f>
        <v/>
      </c>
      <c r="M41" s="17">
        <f>IF(H41="","",IF(J41=0,"Liquidada",IF(J41=1,"Última cuota","En curso")))</f>
        <v/>
      </c>
    </row>
    <row r="42">
      <c r="B42" s="24" t="n"/>
      <c r="C42" s="24" t="n"/>
      <c r="D42" s="21" t="n"/>
      <c r="E42" s="25" t="n"/>
      <c r="F42" s="22" t="n"/>
      <c r="G42" s="25" t="n"/>
      <c r="H42" s="15">
        <f>IF(OR(D42="",E42="",F42="",F42&lt;1),"",ROUND((E42+G42)/F42,2))</f>
        <v/>
      </c>
      <c r="I42" s="14">
        <f>IF(H42="","",MIN(F42,MAX(0,(YEAR(Tarjetas!$D$5)-YEAR(D42))*12+MONTH(Tarjetas!$D$5)-MONTH(D42)-IF(DAY(Tarjetas!$D$5)&lt;DAY(D42),1,0))))</f>
        <v/>
      </c>
      <c r="J42" s="14">
        <f>IF(H42="","",F42-I42)</f>
        <v/>
      </c>
      <c r="K42" s="19">
        <f>IF(H42="","",ROUND(J42*H42,2))</f>
        <v/>
      </c>
      <c r="L42" s="13">
        <f>IF(H42="","",IF(J42=0,"—",EDATE(D42,I42+1)))</f>
        <v/>
      </c>
      <c r="M42" s="17">
        <f>IF(H42="","",IF(J42=0,"Liquidada",IF(J42=1,"Última cuota","En curso")))</f>
        <v/>
      </c>
    </row>
    <row r="43">
      <c r="B43" s="24" t="n"/>
      <c r="C43" s="24" t="n"/>
      <c r="D43" s="21" t="n"/>
      <c r="E43" s="25" t="n"/>
      <c r="F43" s="22" t="n"/>
      <c r="G43" s="25" t="n"/>
      <c r="H43" s="15">
        <f>IF(OR(D43="",E43="",F43="",F43&lt;1),"",ROUND((E43+G43)/F43,2))</f>
        <v/>
      </c>
      <c r="I43" s="14">
        <f>IF(H43="","",MIN(F43,MAX(0,(YEAR(Tarjetas!$D$5)-YEAR(D43))*12+MONTH(Tarjetas!$D$5)-MONTH(D43)-IF(DAY(Tarjetas!$D$5)&lt;DAY(D43),1,0))))</f>
        <v/>
      </c>
      <c r="J43" s="14">
        <f>IF(H43="","",F43-I43)</f>
        <v/>
      </c>
      <c r="K43" s="19">
        <f>IF(H43="","",ROUND(J43*H43,2))</f>
        <v/>
      </c>
      <c r="L43" s="13">
        <f>IF(H43="","",IF(J43=0,"—",EDATE(D43,I43+1)))</f>
        <v/>
      </c>
      <c r="M43" s="17">
        <f>IF(H43="","",IF(J43=0,"Liquidada",IF(J43=1,"Última cuota","En curso")))</f>
        <v/>
      </c>
    </row>
    <row r="44">
      <c r="B44" s="24" t="n"/>
      <c r="C44" s="24" t="n"/>
      <c r="D44" s="21" t="n"/>
      <c r="E44" s="25" t="n"/>
      <c r="F44" s="22" t="n"/>
      <c r="G44" s="25" t="n"/>
      <c r="H44" s="15">
        <f>IF(OR(D44="",E44="",F44="",F44&lt;1),"",ROUND((E44+G44)/F44,2))</f>
        <v/>
      </c>
      <c r="I44" s="14">
        <f>IF(H44="","",MIN(F44,MAX(0,(YEAR(Tarjetas!$D$5)-YEAR(D44))*12+MONTH(Tarjetas!$D$5)-MONTH(D44)-IF(DAY(Tarjetas!$D$5)&lt;DAY(D44),1,0))))</f>
        <v/>
      </c>
      <c r="J44" s="14">
        <f>IF(H44="","",F44-I44)</f>
        <v/>
      </c>
      <c r="K44" s="19">
        <f>IF(H44="","",ROUND(J44*H44,2))</f>
        <v/>
      </c>
      <c r="L44" s="13">
        <f>IF(H44="","",IF(J44=0,"—",EDATE(D44,I44+1)))</f>
        <v/>
      </c>
      <c r="M44" s="17">
        <f>IF(H44="","",IF(J44=0,"Liquidada",IF(J44=1,"Última cuota","En curso")))</f>
        <v/>
      </c>
    </row>
    <row r="45">
      <c r="B45" s="24" t="n"/>
      <c r="C45" s="24" t="n"/>
      <c r="D45" s="21" t="n"/>
      <c r="E45" s="25" t="n"/>
      <c r="F45" s="22" t="n"/>
      <c r="G45" s="25" t="n"/>
      <c r="H45" s="15">
        <f>IF(OR(D45="",E45="",F45="",F45&lt;1),"",ROUND((E45+G45)/F45,2))</f>
        <v/>
      </c>
      <c r="I45" s="14">
        <f>IF(H45="","",MIN(F45,MAX(0,(YEAR(Tarjetas!$D$5)-YEAR(D45))*12+MONTH(Tarjetas!$D$5)-MONTH(D45)-IF(DAY(Tarjetas!$D$5)&lt;DAY(D45),1,0))))</f>
        <v/>
      </c>
      <c r="J45" s="14">
        <f>IF(H45="","",F45-I45)</f>
        <v/>
      </c>
      <c r="K45" s="19">
        <f>IF(H45="","",ROUND(J45*H45,2))</f>
        <v/>
      </c>
      <c r="L45" s="13">
        <f>IF(H45="","",IF(J45=0,"—",EDATE(D45,I45+1)))</f>
        <v/>
      </c>
      <c r="M45" s="17">
        <f>IF(H45="","",IF(J45=0,"Liquidada",IF(J45=1,"Última cuota","En curso")))</f>
        <v/>
      </c>
    </row>
    <row r="46">
      <c r="B46" s="24" t="n"/>
      <c r="C46" s="24" t="n"/>
      <c r="D46" s="21" t="n"/>
      <c r="E46" s="25" t="n"/>
      <c r="F46" s="22" t="n"/>
      <c r="G46" s="25" t="n"/>
      <c r="H46" s="15">
        <f>IF(OR(D46="",E46="",F46="",F46&lt;1),"",ROUND((E46+G46)/F46,2))</f>
        <v/>
      </c>
      <c r="I46" s="14">
        <f>IF(H46="","",MIN(F46,MAX(0,(YEAR(Tarjetas!$D$5)-YEAR(D46))*12+MONTH(Tarjetas!$D$5)-MONTH(D46)-IF(DAY(Tarjetas!$D$5)&lt;DAY(D46),1,0))))</f>
        <v/>
      </c>
      <c r="J46" s="14">
        <f>IF(H46="","",F46-I46)</f>
        <v/>
      </c>
      <c r="K46" s="19">
        <f>IF(H46="","",ROUND(J46*H46,2))</f>
        <v/>
      </c>
      <c r="L46" s="13">
        <f>IF(H46="","",IF(J46=0,"—",EDATE(D46,I46+1)))</f>
        <v/>
      </c>
      <c r="M46" s="17">
        <f>IF(H46="","",IF(J46=0,"Liquidada",IF(J46=1,"Última cuota","En curso")))</f>
        <v/>
      </c>
    </row>
    <row r="47">
      <c r="B47" s="24" t="n"/>
      <c r="C47" s="24" t="n"/>
      <c r="D47" s="21" t="n"/>
      <c r="E47" s="25" t="n"/>
      <c r="F47" s="22" t="n"/>
      <c r="G47" s="25" t="n"/>
      <c r="H47" s="15">
        <f>IF(OR(D47="",E47="",F47="",F47&lt;1),"",ROUND((E47+G47)/F47,2))</f>
        <v/>
      </c>
      <c r="I47" s="14">
        <f>IF(H47="","",MIN(F47,MAX(0,(YEAR(Tarjetas!$D$5)-YEAR(D47))*12+MONTH(Tarjetas!$D$5)-MONTH(D47)-IF(DAY(Tarjetas!$D$5)&lt;DAY(D47),1,0))))</f>
        <v/>
      </c>
      <c r="J47" s="14">
        <f>IF(H47="","",F47-I47)</f>
        <v/>
      </c>
      <c r="K47" s="19">
        <f>IF(H47="","",ROUND(J47*H47,2))</f>
        <v/>
      </c>
      <c r="L47" s="13">
        <f>IF(H47="","",IF(J47=0,"—",EDATE(D47,I47+1)))</f>
        <v/>
      </c>
      <c r="M47" s="17">
        <f>IF(H47="","",IF(J47=0,"Liquidada",IF(J47=1,"Última cuota","En curso")))</f>
        <v/>
      </c>
    </row>
    <row r="48">
      <c r="B48" s="24" t="n"/>
      <c r="C48" s="24" t="n"/>
      <c r="D48" s="21" t="n"/>
      <c r="E48" s="25" t="n"/>
      <c r="F48" s="22" t="n"/>
      <c r="G48" s="25" t="n"/>
      <c r="H48" s="15">
        <f>IF(OR(D48="",E48="",F48="",F48&lt;1),"",ROUND((E48+G48)/F48,2))</f>
        <v/>
      </c>
      <c r="I48" s="14">
        <f>IF(H48="","",MIN(F48,MAX(0,(YEAR(Tarjetas!$D$5)-YEAR(D48))*12+MONTH(Tarjetas!$D$5)-MONTH(D48)-IF(DAY(Tarjetas!$D$5)&lt;DAY(D48),1,0))))</f>
        <v/>
      </c>
      <c r="J48" s="14">
        <f>IF(H48="","",F48-I48)</f>
        <v/>
      </c>
      <c r="K48" s="19">
        <f>IF(H48="","",ROUND(J48*H48,2))</f>
        <v/>
      </c>
      <c r="L48" s="13">
        <f>IF(H48="","",IF(J48=0,"—",EDATE(D48,I48+1)))</f>
        <v/>
      </c>
      <c r="M48" s="17">
        <f>IF(H48="","",IF(J48=0,"Liquidada",IF(J48=1,"Última cuota","En curso")))</f>
        <v/>
      </c>
    </row>
    <row r="49">
      <c r="B49" s="24" t="n"/>
      <c r="C49" s="24" t="n"/>
      <c r="D49" s="21" t="n"/>
      <c r="E49" s="25" t="n"/>
      <c r="F49" s="22" t="n"/>
      <c r="G49" s="25" t="n"/>
      <c r="H49" s="15">
        <f>IF(OR(D49="",E49="",F49="",F49&lt;1),"",ROUND((E49+G49)/F49,2))</f>
        <v/>
      </c>
      <c r="I49" s="14">
        <f>IF(H49="","",MIN(F49,MAX(0,(YEAR(Tarjetas!$D$5)-YEAR(D49))*12+MONTH(Tarjetas!$D$5)-MONTH(D49)-IF(DAY(Tarjetas!$D$5)&lt;DAY(D49),1,0))))</f>
        <v/>
      </c>
      <c r="J49" s="14">
        <f>IF(H49="","",F49-I49)</f>
        <v/>
      </c>
      <c r="K49" s="19">
        <f>IF(H49="","",ROUND(J49*H49,2))</f>
        <v/>
      </c>
      <c r="L49" s="13">
        <f>IF(H49="","",IF(J49=0,"—",EDATE(D49,I49+1)))</f>
        <v/>
      </c>
      <c r="M49" s="17">
        <f>IF(H49="","",IF(J49=0,"Liquidada",IF(J49=1,"Última cuota","En curso")))</f>
        <v/>
      </c>
    </row>
    <row r="50">
      <c r="B50" s="24" t="n"/>
      <c r="C50" s="24" t="n"/>
      <c r="D50" s="21" t="n"/>
      <c r="E50" s="25" t="n"/>
      <c r="F50" s="22" t="n"/>
      <c r="G50" s="25" t="n"/>
      <c r="H50" s="15">
        <f>IF(OR(D50="",E50="",F50="",F50&lt;1),"",ROUND((E50+G50)/F50,2))</f>
        <v/>
      </c>
      <c r="I50" s="14">
        <f>IF(H50="","",MIN(F50,MAX(0,(YEAR(Tarjetas!$D$5)-YEAR(D50))*12+MONTH(Tarjetas!$D$5)-MONTH(D50)-IF(DAY(Tarjetas!$D$5)&lt;DAY(D50),1,0))))</f>
        <v/>
      </c>
      <c r="J50" s="14">
        <f>IF(H50="","",F50-I50)</f>
        <v/>
      </c>
      <c r="K50" s="19">
        <f>IF(H50="","",ROUND(J50*H50,2))</f>
        <v/>
      </c>
      <c r="L50" s="13">
        <f>IF(H50="","",IF(J50=0,"—",EDATE(D50,I50+1)))</f>
        <v/>
      </c>
      <c r="M50" s="17">
        <f>IF(H50="","",IF(J50=0,"Liquidada",IF(J50=1,"Última cuota","En curso")))</f>
        <v/>
      </c>
    </row>
    <row r="51">
      <c r="B51" s="20" t="inlineStr">
        <is>
          <t>TOTAL</t>
        </is>
      </c>
      <c r="E51" s="31">
        <f>SUM(E11:E50)</f>
        <v/>
      </c>
      <c r="G51" s="31">
        <f>SUM(G11:G50)</f>
        <v/>
      </c>
      <c r="H51" s="31">
        <f>SUMIF(J11:J50,"&gt;0",H11:H50)</f>
        <v/>
      </c>
      <c r="K51" s="31">
        <f>SUM(K11:K50)</f>
        <v/>
      </c>
    </row>
    <row r="52">
      <c r="B52" s="18" t="inlineStr">
        <is>
          <t>La cuota mensual total (columna H) suma solo las compras que todavía tienen cuotas pendientes.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M3"/>
    <mergeCell ref="B2:M2"/>
  </mergeCells>
  <conditionalFormatting sqref="B11:M50">
    <cfRule type="expression" priority="1" dxfId="0">
      <formula>MOD(ROW(),2)=0</formula>
    </cfRule>
  </conditionalFormatting>
  <conditionalFormatting sqref="M11:M50">
    <cfRule type="cellIs" priority="2" operator="equal" dxfId="3">
      <formula>"Liquidada"</formula>
    </cfRule>
    <cfRule type="cellIs" priority="3" operator="equal" dxfId="2">
      <formula>"Última cuota"</formula>
    </cfRule>
    <cfRule type="cellIs" priority="4" operator="equal" dxfId="4">
      <formula>"En curso"</formula>
    </cfRule>
  </conditionalFormatting>
  <conditionalFormatting sqref="K11:K50">
    <cfRule type="dataBar" priority="5">
      <dataBar>
        <cfvo type="num" val="0"/>
        <cfvo type="max"/>
        <color rgb="0034D399"/>
      </dataBar>
    </cfRule>
  </conditionalFormatting>
  <dataValidations count="2">
    <dataValidation sqref="C11:C50" showDropDown="0" showInputMessage="0" showErrorMessage="0" allowBlank="1" type="list">
      <formula1>=Tarjetas!$B$11:$B$30</formula1>
    </dataValidation>
    <dataValidation sqref="F11:F50" showDropDown="0" showInputMessage="0" showErrorMessage="0" allowBlank="1" errorTitle="Plazos no válidos" error="Escribe un número de plazos entre 1 y 120." type="whole" operator="between">
      <formula1>1</formula1>
      <formula2>120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la plantilla de control de tarjetas de crédito</t>
        </is>
      </c>
    </row>
    <row r="3">
      <c r="B3" s="3" t="inlineStr">
        <is>
          <t>Plantilla gratuita de Plantillas de Cálculo · plantillasdecalculo.com</t>
        </is>
      </c>
    </row>
    <row r="5">
      <c r="B5" s="9" t="inlineStr">
        <is>
          <t>CÓMO USARLA</t>
        </is>
      </c>
    </row>
    <row r="6" ht="30" customHeight="1">
      <c r="B6" s="33" t="inlineStr">
        <is>
          <t>1.  Hoja «Tarjetas», filas 11 a 30 (hasta 20 tarjetas): escribe el nombre, el límite, el saldo dispuesto (lo que llevas gastado y aún no has pagado) y la TAE de cada tarjeta. Borra los ejemplos.</t>
        </is>
      </c>
    </row>
    <row r="7" ht="30" customHeight="1">
      <c r="B7" s="33" t="inlineStr">
        <is>
          <t>2.  Elige la «Modalidad»: «Pago total» si pagas todo el recibo cada mes, o «Aplazado» si pagas una cuota y el resto genera intereses.</t>
        </is>
      </c>
    </row>
    <row r="8" ht="30" customHeight="1">
      <c r="B8" s="33" t="inlineStr">
        <is>
          <t>3.  Indica el día de cierre del extracto y el día de pago (de 1 a 28) que figuran en el contrato o en la app de tu banco, y el pago mensual previsto.</t>
        </is>
      </c>
    </row>
    <row r="9" ht="30" customHeight="1">
      <c r="B9" s="33" t="inlineStr">
        <is>
          <t>4.  Celda D5: la fecha de hoy se calcula sola con TODAY(); puedes escribir una fecha fija si quieres simular otro momento.</t>
        </is>
      </c>
    </row>
    <row r="10" ht="30" customHeight="1">
      <c r="B10" s="33" t="inlineStr">
        <is>
          <t>5.  Celdas D6 y D7: decide con cuántos días de antelación quieres el aviso de «Vence pronto» y a partir de qué porcentaje consideras alta la utilización.</t>
        </is>
      </c>
    </row>
    <row r="11" ht="30" customHeight="1">
      <c r="B11" s="33" t="inlineStr">
        <is>
          <t>6.  Hoja «Plazos»: apunta cada compra fraccionada con su tarjeta (desplegable), fecha, importe, número de plazos y el recargo total si lo hay. La cuota y los plazos pendientes se calculan solos.</t>
        </is>
      </c>
    </row>
    <row r="12" ht="30" customHeight="1">
      <c r="B12" s="33" t="inlineStr">
        <is>
          <t>7.  Revisa el «Estado» de cada tarjeta: rojo = vence pronto, ámbar = utilización alta, verde = al día.</t>
        </is>
      </c>
    </row>
    <row r="13" ht="30" customHeight="1">
      <c r="B13" s="33" t="inlineStr">
        <is>
          <t>8.  Hoja «Panel»: consulta límite total, utilización global, próximos vencimientos ordenados, intereses estimados, deuda a plazos y los gráficos. Actualiza el saldo de cada tarjeta cuando recibas el extracto.</t>
        </is>
      </c>
    </row>
    <row r="15">
      <c r="B15" s="9" t="inlineStr">
        <is>
          <t>CONSEJOS</t>
        </is>
      </c>
    </row>
    <row r="16" ht="30" customHeight="1">
      <c r="B16" s="33" t="inlineStr">
        <is>
          <t>•  Los datos son un ejemplo ficticio. Sustitúyelos por los de tus tarjetas reales (extracto o app del banco).</t>
        </is>
      </c>
    </row>
    <row r="17" ht="30" customHeight="1">
      <c r="B17" s="33" t="inlineStr">
        <is>
          <t>•  Los intereses se estiman como saldo × TAE / 12; cada entidad calcula comisiones, días de cobro y carencias a su manera, así que el resultado es una aproximación.</t>
        </is>
      </c>
    </row>
    <row r="18" ht="30" customHeight="1">
      <c r="B18" s="33" t="inlineStr">
        <is>
          <t>•  El umbral de utilización alta y los días de aviso son parámetros tuyos: no son cifras oficiales ni recomendaciones personalizadas.</t>
        </is>
      </c>
    </row>
    <row r="19" ht="30" customHeight="1">
      <c r="B19" s="33" t="inlineStr">
        <is>
          <t>•  Las cuotas a plazos se cobran el mismo día del mes que la compra; si tu banco usa otra fecha, el resultado puede variar un mes.</t>
        </is>
      </c>
    </row>
    <row r="20" ht="30" customHeight="1">
      <c r="B20" s="33" t="inlineStr">
        <is>
          <t>•  Las celdas con fondo crema y texto azul son editables; el resto está protegido sin contraseña (Revisar &gt; Desproteger hoja).</t>
        </is>
      </c>
    </row>
    <row r="22">
      <c r="B22" s="34" t="inlineStr">
        <is>
          <t>Las celdas con fondo crema y texto azul son para rellenar; las verdes se calculan solas.</t>
        </is>
      </c>
    </row>
    <row r="24" ht="44" customHeight="1">
      <c r="B24" s="35" t="inlineStr">
        <is>
          <t>Aviso: plantilla educativa para registrar y organizar tus tarjetas. No constituye asesoramiento financiero ni sustituye a un profesional. Los tipos de interés y las condiciones reales los fija tu entidad.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3"/>
  <sheetViews>
    <sheetView showGridLines="0" tabSelected="0" workbookViewId="0">
      <selection activeCell="A1" sqref="A1"/>
    </sheetView>
  </sheetViews>
  <sheetFormatPr baseColWidth="8" defaultRowHeight="15"/>
  <sheetData>
    <row r="1">
      <c r="A1" t="inlineStr">
        <is>
          <t>Modalidad</t>
        </is>
      </c>
    </row>
    <row r="2">
      <c r="A2" t="inlineStr">
        <is>
          <t>Pago total</t>
        </is>
      </c>
    </row>
    <row r="3">
      <c r="A3" t="inlineStr">
        <is>
          <t>Aplazado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2026-10-02T12:59:25Z</dcterms:created>
  <dcterms:modified xmlns:dcterms="http://purl.org/dc/terms/" xmlns:xsi="http://www.w3.org/2001/XMLSchema-instance" xsi:type="dcterms:W3CDTF">2026-10-02T12:59:25Z</dcterms:modified>
</cp:coreProperties>
</file>