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Trabajos" sheetId="2" state="visible" r:id="rId2"/>
    <sheet xmlns:r="http://schemas.openxmlformats.org/officeDocument/2006/relationships" name="Asignaturas" sheetId="3" state="visible" r:id="rId3"/>
    <sheet xmlns:r="http://schemas.openxmlformats.org/officeDocument/2006/relationships" name="Instrucciones" sheetId="4" state="visible" r:id="rId4"/>
    <sheet xmlns:r="http://schemas.openxmlformats.org/officeDocument/2006/relationships" name="Listas" sheetId="5" state="hidden" r:id="rId5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"/>
    <numFmt numFmtId="165" formatCode="dd/mm/yyyy"/>
    <numFmt numFmtId="166" formatCode="yyyy-mm-dd"/>
    <numFmt numFmtId="167" formatCode="0.000"/>
    <numFmt numFmtId="168" formatCode="0.000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111827"/>
      <sz val="10"/>
    </font>
    <font>
      <name val="Arial"/>
      <color rgb="001D4ED8"/>
      <sz val="10"/>
    </font>
    <font>
      <name val="Arial"/>
      <b val="1"/>
      <color rgb="00FFFFFF"/>
      <sz val="10"/>
    </font>
    <font>
      <name val="Arial"/>
      <color rgb="00047857"/>
      <sz val="10"/>
    </font>
    <font>
      <name val="Arial"/>
      <b val="1"/>
      <color rgb="00047857"/>
      <sz val="10"/>
    </font>
    <font>
      <name val="Arial"/>
      <b val="1"/>
      <color rgb="000B4A2F"/>
      <sz val="11"/>
    </font>
    <font>
      <name val="Arial"/>
      <color rgb="006B7280"/>
      <sz val="10"/>
    </font>
    <font>
      <name val="Arial"/>
      <color rgb="006B7280"/>
      <sz val="9"/>
    </font>
    <font>
      <name val="Arial"/>
      <i val="1"/>
      <color rgb="006B7280"/>
      <sz val="9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12" fillId="6" borderId="0" applyAlignment="1" pivotButton="0" quotePrefix="0" xfId="0">
      <alignment horizontal="center" vertical="center" wrapText="1"/>
    </xf>
    <xf numFmtId="1" fontId="13" fillId="6" borderId="0" applyAlignment="1" pivotButton="0" quotePrefix="0" xfId="0">
      <alignment horizontal="center" vertical="center"/>
    </xf>
    <xf numFmtId="2" fontId="13" fillId="6" borderId="0" applyAlignment="1" pivotButton="0" quotePrefix="0" xfId="0">
      <alignment horizontal="center" vertical="center"/>
    </xf>
    <xf numFmtId="9" fontId="13" fillId="6" borderId="0" applyAlignment="1" pivotButton="0" quotePrefix="0" xfId="0">
      <alignment horizontal="center" vertical="center"/>
    </xf>
    <xf numFmtId="0" fontId="14" fillId="0" borderId="0" applyAlignment="1" pivotButton="0" quotePrefix="0" xfId="0">
      <alignment vertical="center"/>
    </xf>
    <xf numFmtId="0" fontId="5" fillId="4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center"/>
    </xf>
    <xf numFmtId="1" fontId="6" fillId="0" borderId="1" applyAlignment="1" pivotButton="0" quotePrefix="0" xfId="0">
      <alignment horizontal="center" vertical="center"/>
    </xf>
    <xf numFmtId="9" fontId="6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vertical="center"/>
    </xf>
    <xf numFmtId="165" fontId="6" fillId="0" borderId="1" applyAlignment="1" pivotButton="0" quotePrefix="0" xfId="0">
      <alignment horizontal="center" vertical="center"/>
    </xf>
    <xf numFmtId="1" fontId="7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/>
    </xf>
    <xf numFmtId="168" fontId="6" fillId="0" borderId="1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165" fontId="7" fillId="0" borderId="1" applyAlignment="1" pivotButton="0" quotePrefix="0" xfId="0">
      <alignment horizontal="center" vertical="center"/>
    </xf>
    <xf numFmtId="1" fontId="4" fillId="3" borderId="1" applyAlignment="1" applyProtection="1" pivotButton="0" quotePrefix="0" xfId="0">
      <alignment horizontal="center" vertical="center"/>
      <protection locked="0" hidden="0"/>
    </xf>
    <xf numFmtId="0" fontId="9" fillId="0" borderId="0" applyAlignment="1" pivotButton="0" quotePrefix="0" xfId="0">
      <alignment vertical="center"/>
    </xf>
    <xf numFmtId="0" fontId="11" fillId="4" borderId="1" applyAlignment="1" pivotButton="0" quotePrefix="0" xfId="0">
      <alignment horizontal="center" vertical="center" wrapText="1"/>
    </xf>
    <xf numFmtId="0" fontId="4" fillId="3" borderId="1" applyAlignment="1" applyProtection="1" pivotButton="0" quotePrefix="0" xfId="0">
      <alignment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165" fontId="4" fillId="3" borderId="1" applyAlignment="1" applyProtection="1" pivotButton="0" quotePrefix="0" xfId="0">
      <alignment horizontal="center" vertical="center"/>
      <protection locked="0" hidden="0"/>
    </xf>
    <xf numFmtId="9" fontId="4" fillId="3" borderId="1" applyAlignment="1" applyProtection="1" pivotButton="0" quotePrefix="0" xfId="0">
      <alignment horizontal="center" vertical="center"/>
      <protection locked="0" hidden="0"/>
    </xf>
    <xf numFmtId="164" fontId="4" fillId="3" borderId="1" applyAlignment="1" applyProtection="1" pivotButton="0" quotePrefix="0" xfId="0">
      <alignment horizontal="center" vertical="center"/>
      <protection locked="0" hidden="0"/>
    </xf>
    <xf numFmtId="167" fontId="6" fillId="0" borderId="1" applyAlignment="1" pivotButton="0" quotePrefix="0" xfId="0">
      <alignment horizontal="center" vertical="center"/>
    </xf>
    <xf numFmtId="168" fontId="10" fillId="0" borderId="1" applyAlignment="1" pivotButton="0" quotePrefix="0" xfId="0">
      <alignment horizontal="center" vertical="center"/>
    </xf>
    <xf numFmtId="1" fontId="10" fillId="0" borderId="1" applyAlignment="1" pivotButton="0" quotePrefix="0" xfId="0">
      <alignment horizontal="center" vertical="center"/>
    </xf>
    <xf numFmtId="2" fontId="7" fillId="0" borderId="1" applyAlignment="1" pivotButton="0" quotePrefix="0" xfId="0">
      <alignment horizontal="center" vertical="center"/>
    </xf>
    <xf numFmtId="0" fontId="8" fillId="5" borderId="1" applyAlignment="1" pivotButton="0" quotePrefix="0" xfId="0">
      <alignment vertical="center"/>
    </xf>
    <xf numFmtId="1" fontId="8" fillId="5" borderId="1" applyAlignment="1" pivotButton="0" quotePrefix="0" xfId="0">
      <alignment vertical="center"/>
    </xf>
    <xf numFmtId="2" fontId="8" fillId="5" borderId="1" applyAlignment="1" pivotButton="0" quotePrefix="0" xfId="0">
      <alignment vertical="center"/>
    </xf>
    <xf numFmtId="9" fontId="8" fillId="5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B91C1C"/>
      </font>
      <fill>
        <patternFill patternType="solid">
          <fgColor rgb="00FECACA"/>
          <bgColor rgb="00FECACA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Trabajos entregados y pendientes por asignatura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'Asignaturas'!D7</f>
            </strRef>
          </tx>
          <spPr>
            <a:ln xmlns:a="http://schemas.openxmlformats.org/drawingml/2006/main">
              <a:prstDash val="solid"/>
            </a:ln>
          </spPr>
          <cat>
            <numRef>
              <f>'Asignaturas'!$B$8:$B$15</f>
            </numRef>
          </cat>
          <val>
            <numRef>
              <f>'Asignaturas'!$D$8:$D$15</f>
            </numRef>
          </val>
        </ser>
        <ser>
          <idx val="1"/>
          <order val="1"/>
          <tx>
            <strRef>
              <f>'Asignaturas'!E7</f>
            </strRef>
          </tx>
          <spPr>
            <a:ln xmlns:a="http://schemas.openxmlformats.org/drawingml/2006/main">
              <a:prstDash val="solid"/>
            </a:ln>
          </spPr>
          <cat>
            <numRef>
              <f>'Asignaturas'!$B$8:$B$15</f>
            </numRef>
          </cat>
          <val>
            <numRef>
              <f>'Asignaturas'!$E$8:$E$15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26</row>
      <rowOff>0</rowOff>
    </from>
    <ext cx="72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J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4" customWidth="1" min="2" max="2"/>
    <col width="24" customWidth="1" min="3" max="3"/>
    <col width="14" customWidth="1" min="4" max="4"/>
    <col width="11" customWidth="1" min="5" max="5"/>
    <col width="14" customWidth="1" min="6" max="6"/>
    <col width="13" customWidth="1" min="7" max="7"/>
    <col width="13" customWidth="1" min="8" max="8"/>
    <col width="3" customWidth="1" min="9" max="9"/>
    <col hidden="1" width="13" customWidth="1" min="10" max="10"/>
  </cols>
  <sheetData>
    <row r="2" ht="34" customHeight="1">
      <c r="B2" s="1" t="inlineStr">
        <is>
          <t>Panel de entregas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Qué entregas vienen, cuáles están en riesgo y cómo va la nota de tus trabajos, de un vistazo.</t>
        </is>
      </c>
    </row>
    <row r="5" ht="30" customHeight="1">
      <c r="B5" s="4" t="inlineStr">
        <is>
          <t>TRABAJOS EN TOTAL</t>
        </is>
      </c>
      <c r="C5" s="4" t="inlineStr">
        <is>
          <t>PENDIENTES DE ENTREGAR</t>
        </is>
      </c>
      <c r="D5" s="4" t="inlineStr">
        <is>
          <t>URGENTES</t>
        </is>
      </c>
      <c r="F5" s="4" t="inlineStr">
        <is>
          <t>VENCIDOS</t>
        </is>
      </c>
      <c r="G5" s="4" t="inlineStr">
        <is>
          <t>NOTA MEDIA</t>
        </is>
      </c>
      <c r="H5" s="4" t="inlineStr">
        <is>
          <t>AVANCE GLOBAL</t>
        </is>
      </c>
    </row>
    <row r="6" ht="36" customHeight="1">
      <c r="B6" s="5">
        <f>COUNTA(Trabajos!C8:C47)</f>
        <v/>
      </c>
      <c r="C6" s="5">
        <f>COUNTIF(Trabajos!G8:G47,"Pendiente")+COUNTIF(Trabajos!G8:G47,"En curso")</f>
        <v/>
      </c>
      <c r="D6" s="5">
        <f>COUNTIF(Trabajos!K8:K47,"Urgente")</f>
        <v/>
      </c>
      <c r="F6" s="5">
        <f>COUNTIF(Trabajos!K8:K47,"Vencido")</f>
        <v/>
      </c>
      <c r="G6" s="6">
        <f>Asignaturas!H20</f>
        <v/>
      </c>
      <c r="H6" s="7">
        <f>IFERROR(AVERAGE(Trabajos!H8:H47),0)</f>
        <v/>
      </c>
    </row>
    <row r="8">
      <c r="B8" s="8" t="inlineStr">
        <is>
          <t>ENTREGAS POR ESTADO</t>
        </is>
      </c>
      <c r="F8" s="8" t="inlineStr">
        <is>
          <t>SEMÁFORO DE PLAZOS</t>
        </is>
      </c>
    </row>
    <row r="9" ht="26" customHeight="1">
      <c r="B9" s="9" t="inlineStr">
        <is>
          <t>Estado</t>
        </is>
      </c>
      <c r="C9" s="9" t="inlineStr">
        <is>
          <t>Nº trabajos</t>
        </is>
      </c>
      <c r="D9" s="9" t="inlineStr">
        <is>
          <t>% del total</t>
        </is>
      </c>
      <c r="F9" s="9" t="inlineStr">
        <is>
          <t>Plazo</t>
        </is>
      </c>
      <c r="G9" s="9" t="inlineStr">
        <is>
          <t>Nº</t>
        </is>
      </c>
    </row>
    <row r="10">
      <c r="B10" s="10" t="inlineStr">
        <is>
          <t>Pendiente</t>
        </is>
      </c>
      <c r="C10" s="11">
        <f>COUNTIF(Trabajos!G8:G47,B10)</f>
        <v/>
      </c>
      <c r="D10" s="12">
        <f>IF($B$6=0,0,C10/$B$6)</f>
        <v/>
      </c>
      <c r="F10" s="10" t="inlineStr">
        <is>
          <t>Vencido</t>
        </is>
      </c>
      <c r="G10" s="11">
        <f>COUNTIF(Trabajos!K8:K47,F10)</f>
        <v/>
      </c>
    </row>
    <row r="11">
      <c r="B11" s="10" t="inlineStr">
        <is>
          <t>En curso</t>
        </is>
      </c>
      <c r="C11" s="11">
        <f>COUNTIF(Trabajos!G8:G47,B11)</f>
        <v/>
      </c>
      <c r="D11" s="12">
        <f>IF($B$6=0,0,C11/$B$6)</f>
        <v/>
      </c>
      <c r="F11" s="10" t="inlineStr">
        <is>
          <t>Urgente</t>
        </is>
      </c>
      <c r="G11" s="11">
        <f>COUNTIF(Trabajos!K8:K47,F11)</f>
        <v/>
      </c>
    </row>
    <row r="12">
      <c r="B12" s="10" t="inlineStr">
        <is>
          <t>Entregado</t>
        </is>
      </c>
      <c r="C12" s="11">
        <f>COUNTIF(Trabajos!G8:G47,B12)</f>
        <v/>
      </c>
      <c r="D12" s="12">
        <f>IF($B$6=0,0,C12/$B$6)</f>
        <v/>
      </c>
      <c r="F12" s="10" t="inlineStr">
        <is>
          <t>Próximo</t>
        </is>
      </c>
      <c r="G12" s="11">
        <f>COUNTIF(Trabajos!K8:K47,F12)</f>
        <v/>
      </c>
    </row>
    <row r="13">
      <c r="B13" s="10" t="inlineStr">
        <is>
          <t>Corregido</t>
        </is>
      </c>
      <c r="C13" s="11">
        <f>COUNTIF(Trabajos!G8:G47,B13)</f>
        <v/>
      </c>
      <c r="D13" s="12">
        <f>IF($B$6=0,0,C13/$B$6)</f>
        <v/>
      </c>
      <c r="F13" s="10" t="inlineStr">
        <is>
          <t>En plazo</t>
        </is>
      </c>
      <c r="G13" s="11">
        <f>COUNTIF(Trabajos!K8:K47,F13)</f>
        <v/>
      </c>
    </row>
    <row r="15">
      <c r="B15" s="8" t="inlineStr">
        <is>
          <t>PRÓXIMAS 8 ENTREGAS (INCLUYE LAS VENCIDAS)</t>
        </is>
      </c>
    </row>
    <row r="16" ht="26" customHeight="1">
      <c r="B16" s="9" t="inlineStr">
        <is>
          <t>Asignatura</t>
        </is>
      </c>
      <c r="C16" s="9" t="inlineStr">
        <is>
          <t>Trabajo</t>
        </is>
      </c>
      <c r="D16" s="9" t="inlineStr">
        <is>
          <t>Fecha</t>
        </is>
      </c>
      <c r="E16" s="9" t="inlineStr">
        <is>
          <t>Peso</t>
        </is>
      </c>
      <c r="F16" s="9" t="inlineStr">
        <is>
          <t>Faltan (días)</t>
        </is>
      </c>
      <c r="G16" s="9" t="inlineStr">
        <is>
          <t>Estado</t>
        </is>
      </c>
      <c r="H16" s="9" t="inlineStr">
        <is>
          <t>Avance</t>
        </is>
      </c>
    </row>
    <row r="17">
      <c r="B17" s="13">
        <f>IF($J17="","",INDEX(Trabajos!$B$8:$B$47,MATCH($J17,Trabajos!$M$8:$M$47,0)))</f>
        <v/>
      </c>
      <c r="C17" s="13">
        <f>IF($J17="","",INDEX(Trabajos!$C$8:$C$47,MATCH($J17,Trabajos!$M$8:$M$47,0)))</f>
        <v/>
      </c>
      <c r="D17" s="14">
        <f>IF($J17="","",INDEX(Trabajos!$E$8:$E$47,MATCH($J17,Trabajos!$M$8:$M$47,0)))</f>
        <v/>
      </c>
      <c r="E17" s="12">
        <f>IF($J17="","",INDEX(Trabajos!$F$8:$F$47,MATCH($J17,Trabajos!$M$8:$M$47,0)))</f>
        <v/>
      </c>
      <c r="F17" s="15">
        <f>IF(ISNUMBER(D17),D17-Trabajos!$C$5,"")</f>
        <v/>
      </c>
      <c r="G17" s="16">
        <f>IF($J17="","",INDEX(Trabajos!$G$8:$G$47,MATCH($J17,Trabajos!$M$8:$M$47,0)))</f>
        <v/>
      </c>
      <c r="H17" s="12">
        <f>IF($J17="","",INDEX(Trabajos!$H$8:$H$47,MATCH($J17,Trabajos!$M$8:$M$47,0)))</f>
        <v/>
      </c>
      <c r="J17" s="17">
        <f>IFERROR(SMALL(Trabajos!M8:M47,1),"")</f>
        <v/>
      </c>
    </row>
    <row r="18">
      <c r="B18" s="13">
        <f>IF($J18="","",INDEX(Trabajos!$B$8:$B$47,MATCH($J18,Trabajos!$M$8:$M$47,0)))</f>
        <v/>
      </c>
      <c r="C18" s="13">
        <f>IF($J18="","",INDEX(Trabajos!$C$8:$C$47,MATCH($J18,Trabajos!$M$8:$M$47,0)))</f>
        <v/>
      </c>
      <c r="D18" s="14">
        <f>IF($J18="","",INDEX(Trabajos!$E$8:$E$47,MATCH($J18,Trabajos!$M$8:$M$47,0)))</f>
        <v/>
      </c>
      <c r="E18" s="12">
        <f>IF($J18="","",INDEX(Trabajos!$F$8:$F$47,MATCH($J18,Trabajos!$M$8:$M$47,0)))</f>
        <v/>
      </c>
      <c r="F18" s="15">
        <f>IF(ISNUMBER(D18),D18-Trabajos!$C$5,"")</f>
        <v/>
      </c>
      <c r="G18" s="16">
        <f>IF($J18="","",INDEX(Trabajos!$G$8:$G$47,MATCH($J18,Trabajos!$M$8:$M$47,0)))</f>
        <v/>
      </c>
      <c r="H18" s="12">
        <f>IF($J18="","",INDEX(Trabajos!$H$8:$H$47,MATCH($J18,Trabajos!$M$8:$M$47,0)))</f>
        <v/>
      </c>
      <c r="J18" s="17">
        <f>IFERROR(SMALL(Trabajos!M8:M47,2),"")</f>
        <v/>
      </c>
    </row>
    <row r="19">
      <c r="B19" s="13">
        <f>IF($J19="","",INDEX(Trabajos!$B$8:$B$47,MATCH($J19,Trabajos!$M$8:$M$47,0)))</f>
        <v/>
      </c>
      <c r="C19" s="13">
        <f>IF($J19="","",INDEX(Trabajos!$C$8:$C$47,MATCH($J19,Trabajos!$M$8:$M$47,0)))</f>
        <v/>
      </c>
      <c r="D19" s="14">
        <f>IF($J19="","",INDEX(Trabajos!$E$8:$E$47,MATCH($J19,Trabajos!$M$8:$M$47,0)))</f>
        <v/>
      </c>
      <c r="E19" s="12">
        <f>IF($J19="","",INDEX(Trabajos!$F$8:$F$47,MATCH($J19,Trabajos!$M$8:$M$47,0)))</f>
        <v/>
      </c>
      <c r="F19" s="15">
        <f>IF(ISNUMBER(D19),D19-Trabajos!$C$5,"")</f>
        <v/>
      </c>
      <c r="G19" s="16">
        <f>IF($J19="","",INDEX(Trabajos!$G$8:$G$47,MATCH($J19,Trabajos!$M$8:$M$47,0)))</f>
        <v/>
      </c>
      <c r="H19" s="12">
        <f>IF($J19="","",INDEX(Trabajos!$H$8:$H$47,MATCH($J19,Trabajos!$M$8:$M$47,0)))</f>
        <v/>
      </c>
      <c r="J19" s="17">
        <f>IFERROR(SMALL(Trabajos!M8:M47,3),"")</f>
        <v/>
      </c>
    </row>
    <row r="20">
      <c r="B20" s="13">
        <f>IF($J20="","",INDEX(Trabajos!$B$8:$B$47,MATCH($J20,Trabajos!$M$8:$M$47,0)))</f>
        <v/>
      </c>
      <c r="C20" s="13">
        <f>IF($J20="","",INDEX(Trabajos!$C$8:$C$47,MATCH($J20,Trabajos!$M$8:$M$47,0)))</f>
        <v/>
      </c>
      <c r="D20" s="14">
        <f>IF($J20="","",INDEX(Trabajos!$E$8:$E$47,MATCH($J20,Trabajos!$M$8:$M$47,0)))</f>
        <v/>
      </c>
      <c r="E20" s="12">
        <f>IF($J20="","",INDEX(Trabajos!$F$8:$F$47,MATCH($J20,Trabajos!$M$8:$M$47,0)))</f>
        <v/>
      </c>
      <c r="F20" s="15">
        <f>IF(ISNUMBER(D20),D20-Trabajos!$C$5,"")</f>
        <v/>
      </c>
      <c r="G20" s="16">
        <f>IF($J20="","",INDEX(Trabajos!$G$8:$G$47,MATCH($J20,Trabajos!$M$8:$M$47,0)))</f>
        <v/>
      </c>
      <c r="H20" s="12">
        <f>IF($J20="","",INDEX(Trabajos!$H$8:$H$47,MATCH($J20,Trabajos!$M$8:$M$47,0)))</f>
        <v/>
      </c>
      <c r="J20" s="17">
        <f>IFERROR(SMALL(Trabajos!M8:M47,4),"")</f>
        <v/>
      </c>
    </row>
    <row r="21">
      <c r="B21" s="13">
        <f>IF($J21="","",INDEX(Trabajos!$B$8:$B$47,MATCH($J21,Trabajos!$M$8:$M$47,0)))</f>
        <v/>
      </c>
      <c r="C21" s="13">
        <f>IF($J21="","",INDEX(Trabajos!$C$8:$C$47,MATCH($J21,Trabajos!$M$8:$M$47,0)))</f>
        <v/>
      </c>
      <c r="D21" s="14">
        <f>IF($J21="","",INDEX(Trabajos!$E$8:$E$47,MATCH($J21,Trabajos!$M$8:$M$47,0)))</f>
        <v/>
      </c>
      <c r="E21" s="12">
        <f>IF($J21="","",INDEX(Trabajos!$F$8:$F$47,MATCH($J21,Trabajos!$M$8:$M$47,0)))</f>
        <v/>
      </c>
      <c r="F21" s="15">
        <f>IF(ISNUMBER(D21),D21-Trabajos!$C$5,"")</f>
        <v/>
      </c>
      <c r="G21" s="16">
        <f>IF($J21="","",INDEX(Trabajos!$G$8:$G$47,MATCH($J21,Trabajos!$M$8:$M$47,0)))</f>
        <v/>
      </c>
      <c r="H21" s="12">
        <f>IF($J21="","",INDEX(Trabajos!$H$8:$H$47,MATCH($J21,Trabajos!$M$8:$M$47,0)))</f>
        <v/>
      </c>
      <c r="J21" s="17">
        <f>IFERROR(SMALL(Trabajos!M8:M47,5),"")</f>
        <v/>
      </c>
    </row>
    <row r="22">
      <c r="B22" s="13">
        <f>IF($J22="","",INDEX(Trabajos!$B$8:$B$47,MATCH($J22,Trabajos!$M$8:$M$47,0)))</f>
        <v/>
      </c>
      <c r="C22" s="13">
        <f>IF($J22="","",INDEX(Trabajos!$C$8:$C$47,MATCH($J22,Trabajos!$M$8:$M$47,0)))</f>
        <v/>
      </c>
      <c r="D22" s="14">
        <f>IF($J22="","",INDEX(Trabajos!$E$8:$E$47,MATCH($J22,Trabajos!$M$8:$M$47,0)))</f>
        <v/>
      </c>
      <c r="E22" s="12">
        <f>IF($J22="","",INDEX(Trabajos!$F$8:$F$47,MATCH($J22,Trabajos!$M$8:$M$47,0)))</f>
        <v/>
      </c>
      <c r="F22" s="15">
        <f>IF(ISNUMBER(D22),D22-Trabajos!$C$5,"")</f>
        <v/>
      </c>
      <c r="G22" s="16">
        <f>IF($J22="","",INDEX(Trabajos!$G$8:$G$47,MATCH($J22,Trabajos!$M$8:$M$47,0)))</f>
        <v/>
      </c>
      <c r="H22" s="12">
        <f>IF($J22="","",INDEX(Trabajos!$H$8:$H$47,MATCH($J22,Trabajos!$M$8:$M$47,0)))</f>
        <v/>
      </c>
      <c r="J22" s="17">
        <f>IFERROR(SMALL(Trabajos!M8:M47,6),"")</f>
        <v/>
      </c>
    </row>
    <row r="23">
      <c r="B23" s="13">
        <f>IF($J23="","",INDEX(Trabajos!$B$8:$B$47,MATCH($J23,Trabajos!$M$8:$M$47,0)))</f>
        <v/>
      </c>
      <c r="C23" s="13">
        <f>IF($J23="","",INDEX(Trabajos!$C$8:$C$47,MATCH($J23,Trabajos!$M$8:$M$47,0)))</f>
        <v/>
      </c>
      <c r="D23" s="14">
        <f>IF($J23="","",INDEX(Trabajos!$E$8:$E$47,MATCH($J23,Trabajos!$M$8:$M$47,0)))</f>
        <v/>
      </c>
      <c r="E23" s="12">
        <f>IF($J23="","",INDEX(Trabajos!$F$8:$F$47,MATCH($J23,Trabajos!$M$8:$M$47,0)))</f>
        <v/>
      </c>
      <c r="F23" s="15">
        <f>IF(ISNUMBER(D23),D23-Trabajos!$C$5,"")</f>
        <v/>
      </c>
      <c r="G23" s="16">
        <f>IF($J23="","",INDEX(Trabajos!$G$8:$G$47,MATCH($J23,Trabajos!$M$8:$M$47,0)))</f>
        <v/>
      </c>
      <c r="H23" s="12">
        <f>IF($J23="","",INDEX(Trabajos!$H$8:$H$47,MATCH($J23,Trabajos!$M$8:$M$47,0)))</f>
        <v/>
      </c>
      <c r="J23" s="17">
        <f>IFERROR(SMALL(Trabajos!M8:M47,7),"")</f>
        <v/>
      </c>
    </row>
    <row r="24">
      <c r="B24" s="13">
        <f>IF($J24="","",INDEX(Trabajos!$B$8:$B$47,MATCH($J24,Trabajos!$M$8:$M$47,0)))</f>
        <v/>
      </c>
      <c r="C24" s="13">
        <f>IF($J24="","",INDEX(Trabajos!$C$8:$C$47,MATCH($J24,Trabajos!$M$8:$M$47,0)))</f>
        <v/>
      </c>
      <c r="D24" s="14">
        <f>IF($J24="","",INDEX(Trabajos!$E$8:$E$47,MATCH($J24,Trabajos!$M$8:$M$47,0)))</f>
        <v/>
      </c>
      <c r="E24" s="12">
        <f>IF($J24="","",INDEX(Trabajos!$F$8:$F$47,MATCH($J24,Trabajos!$M$8:$M$47,0)))</f>
        <v/>
      </c>
      <c r="F24" s="15">
        <f>IF(ISNUMBER(D24),D24-Trabajos!$C$5,"")</f>
        <v/>
      </c>
      <c r="G24" s="16">
        <f>IF($J24="","",INDEX(Trabajos!$G$8:$G$47,MATCH($J24,Trabajos!$M$8:$M$47,0)))</f>
        <v/>
      </c>
      <c r="H24" s="12">
        <f>IF($J24="","",INDEX(Trabajos!$H$8:$H$47,MATCH($J24,Trabajos!$M$8:$M$47,0)))</f>
        <v/>
      </c>
      <c r="J24" s="17">
        <f>IFERROR(SMALL(Trabajos!M8:M47,8),"")</f>
        <v/>
      </c>
    </row>
    <row r="26">
      <c r="B26" s="8" t="inlineStr">
        <is>
          <t>ENTREGADOS Y PENDIENTES POR ASIGNATURA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4">
    <mergeCell ref="B3:H3"/>
    <mergeCell ref="B2:H2"/>
    <mergeCell ref="D5:E5"/>
    <mergeCell ref="D6:E6"/>
  </mergeCells>
  <conditionalFormatting sqref="F10:F13">
    <cfRule type="cellIs" priority="1" operator="equal" dxfId="0">
      <formula>"Vencido"</formula>
    </cfRule>
    <cfRule type="cellIs" priority="2" operator="equal" dxfId="1">
      <formula>"Urgente"</formula>
    </cfRule>
    <cfRule type="cellIs" priority="3" operator="equal" dxfId="2">
      <formula>"Próximo"</formula>
    </cfRule>
    <cfRule type="cellIs" priority="4" operator="equal" dxfId="3">
      <formula>"En plazo"</formula>
    </cfRule>
  </conditionalFormatting>
  <conditionalFormatting sqref="C10:C13">
    <cfRule type="dataBar" priority="5">
      <dataBar>
        <cfvo type="num" val="0"/>
        <cfvo type="max"/>
        <color rgb="0034D399"/>
      </dataBar>
    </cfRule>
  </conditionalFormatting>
  <conditionalFormatting sqref="B17:H24">
    <cfRule type="expression" priority="6" dxfId="0">
      <formula>AND(ISNUMBER($F17),$F17&lt;0)</formula>
    </cfRule>
    <cfRule type="expression" priority="7" dxfId="1">
      <formula>AND(ISNUMBER($F17),$F17&gt;=0,$F17&lt;=Trabajos!$E$5)</formula>
    </cfRule>
    <cfRule type="expression" priority="8" dxfId="2">
      <formula>AND(ISNUMBER($F17),$F17&gt;Trabajos!$E$5,$F17&lt;=Trabajos!$G$5)</formula>
    </cfRule>
  </conditionalFormatting>
  <conditionalFormatting sqref="H17:H24">
    <cfRule type="dataBar" priority="9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N47"/>
  <sheetViews>
    <sheetView showGridLines="0"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4" customWidth="1" min="2" max="2"/>
    <col width="28" customWidth="1" min="3" max="3"/>
    <col width="13" customWidth="1" min="4" max="4"/>
    <col width="13" customWidth="1" min="5" max="5"/>
    <col width="10" customWidth="1" min="6" max="6"/>
    <col width="13" customWidth="1" min="7" max="7"/>
    <col width="10" customWidth="1" min="8" max="8"/>
    <col width="10" customWidth="1" min="9" max="9"/>
    <col width="11" customWidth="1" min="10" max="10"/>
    <col width="13" customWidth="1" min="11" max="11"/>
    <col width="12" customWidth="1" min="12" max="12"/>
    <col hidden="1" width="12" customWidth="1" min="13" max="13"/>
    <col hidden="1" width="8" customWidth="1" min="14" max="14"/>
  </cols>
  <sheetData>
    <row r="2" ht="34" customHeight="1">
      <c r="B2" s="1" t="inlineStr">
        <is>
          <t>Registro de entregas y trabajos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B3" s="3" t="inlineStr">
        <is>
          <t>Una fila por trabajo: asignatura, fecha de entrega, peso, estado, avance y nota. El semáforo se calcula con la fecha de hoy.</t>
        </is>
      </c>
    </row>
    <row r="5">
      <c r="B5" s="18" t="inlineStr">
        <is>
          <t>Hoy:</t>
        </is>
      </c>
      <c r="C5" s="19">
        <f>TODAY()</f>
        <v/>
      </c>
      <c r="D5" s="18" t="inlineStr">
        <is>
          <t>Urgente si faltan ≤</t>
        </is>
      </c>
      <c r="E5" s="20" t="n">
        <v>3</v>
      </c>
      <c r="F5" s="18" t="inlineStr">
        <is>
          <t>Próximo si ≤</t>
        </is>
      </c>
      <c r="G5" s="20" t="n">
        <v>7</v>
      </c>
      <c r="H5" s="21" t="inlineStr">
        <is>
          <t>días</t>
        </is>
      </c>
    </row>
    <row r="7" ht="32" customHeight="1">
      <c r="B7" s="9" t="inlineStr">
        <is>
          <t>Asignatura</t>
        </is>
      </c>
      <c r="C7" s="9" t="inlineStr">
        <is>
          <t>Trabajo</t>
        </is>
      </c>
      <c r="D7" s="9" t="inlineStr">
        <is>
          <t>Tipo</t>
        </is>
      </c>
      <c r="E7" s="9" t="inlineStr">
        <is>
          <t>Fecha de entrega</t>
        </is>
      </c>
      <c r="F7" s="9" t="inlineStr">
        <is>
          <t>Peso en la nota</t>
        </is>
      </c>
      <c r="G7" s="9" t="inlineStr">
        <is>
          <t>Estado</t>
        </is>
      </c>
      <c r="H7" s="9" t="inlineStr">
        <is>
          <t>Avance (%)</t>
        </is>
      </c>
      <c r="I7" s="9" t="inlineStr">
        <is>
          <t>Nota (0-10)</t>
        </is>
      </c>
      <c r="J7" s="9" t="inlineStr">
        <is>
          <t>Días que faltan</t>
        </is>
      </c>
      <c r="K7" s="9" t="inlineStr">
        <is>
          <t>Semáforo</t>
        </is>
      </c>
      <c r="L7" s="9" t="inlineStr">
        <is>
          <t>Puntos ponderados</t>
        </is>
      </c>
      <c r="M7" s="22" t="inlineStr">
        <is>
          <t>Clave (aux.)</t>
        </is>
      </c>
      <c r="N7" s="22" t="inlineStr">
        <is>
          <t>Orden (aux.)</t>
        </is>
      </c>
    </row>
    <row r="8">
      <c r="B8" s="23" t="inlineStr">
        <is>
          <t>Psicología Social</t>
        </is>
      </c>
      <c r="C8" s="23" t="inlineStr">
        <is>
          <t>Reseña de artículo</t>
        </is>
      </c>
      <c r="D8" s="24" t="inlineStr">
        <is>
          <t>Individual</t>
        </is>
      </c>
      <c r="E8" s="25" t="n">
        <v>46283</v>
      </c>
      <c r="F8" s="26" t="n">
        <v>0.1</v>
      </c>
      <c r="G8" s="24" t="inlineStr">
        <is>
          <t>Corregido</t>
        </is>
      </c>
      <c r="H8" s="26" t="n">
        <v>1</v>
      </c>
      <c r="I8" s="27" t="n">
        <v>8</v>
      </c>
      <c r="J8" s="11">
        <f>IF(E8="","",E8-$C$5)</f>
        <v/>
      </c>
      <c r="K8" s="16">
        <f>IF(E8="","",IF(OR(G8="Entregado",G8="Corregido"),G8,IF(J8&lt;0,"Vencido",IF(J8&lt;=$E$5,"Urgente",IF(J8&lt;=$G$5,"Próximo","En plazo")))))</f>
        <v/>
      </c>
      <c r="L8" s="28">
        <f>IF(OR(I8="",F8=""),"",ROUND(I8*F8,3))</f>
        <v/>
      </c>
      <c r="M8" s="29">
        <f>IF(OR(E8="",G8="Entregado",G8="Corregido"),"",E8+ROW()/100000)</f>
        <v/>
      </c>
      <c r="N8" s="30">
        <f>IF(M8="","",COUNTIFS($B$8:$B$47,B8,$M$8:$M$47,"&lt;"&amp;M8)+1)</f>
        <v/>
      </c>
    </row>
    <row r="9">
      <c r="B9" s="23" t="inlineStr">
        <is>
          <t>Psicología Social</t>
        </is>
      </c>
      <c r="C9" s="23" t="inlineStr">
        <is>
          <t>Informe de grupo</t>
        </is>
      </c>
      <c r="D9" s="24" t="inlineStr">
        <is>
          <t>Grupo</t>
        </is>
      </c>
      <c r="E9" s="25" t="n">
        <v>46304</v>
      </c>
      <c r="F9" s="26" t="n">
        <v>0.2</v>
      </c>
      <c r="G9" s="24" t="inlineStr">
        <is>
          <t>En curso</t>
        </is>
      </c>
      <c r="H9" s="26" t="n">
        <v>0.6</v>
      </c>
      <c r="I9" s="27" t="n"/>
      <c r="J9" s="11">
        <f>IF(E9="","",E9-$C$5)</f>
        <v/>
      </c>
      <c r="K9" s="16">
        <f>IF(E9="","",IF(OR(G9="Entregado",G9="Corregido"),G9,IF(J9&lt;0,"Vencido",IF(J9&lt;=$E$5,"Urgente",IF(J9&lt;=$G$5,"Próximo","En plazo")))))</f>
        <v/>
      </c>
      <c r="L9" s="28">
        <f>IF(OR(I9="",F9=""),"",ROUND(I9*F9,3))</f>
        <v/>
      </c>
      <c r="M9" s="29">
        <f>IF(OR(E9="",G9="Entregado",G9="Corregido"),"",E9+ROW()/100000)</f>
        <v/>
      </c>
      <c r="N9" s="30">
        <f>IF(M9="","",COUNTIFS($B$8:$B$47,B9,$M$8:$M$47,"&lt;"&amp;M9)+1)</f>
        <v/>
      </c>
    </row>
    <row r="10">
      <c r="B10" s="23" t="inlineStr">
        <is>
          <t>Psicología Social</t>
        </is>
      </c>
      <c r="C10" s="23" t="inlineStr">
        <is>
          <t>Ensayo final</t>
        </is>
      </c>
      <c r="D10" s="24" t="inlineStr">
        <is>
          <t>Ensayo</t>
        </is>
      </c>
      <c r="E10" s="25" t="n">
        <v>46353</v>
      </c>
      <c r="F10" s="26" t="n">
        <v>0.2</v>
      </c>
      <c r="G10" s="24" t="inlineStr">
        <is>
          <t>Pendiente</t>
        </is>
      </c>
      <c r="H10" s="26" t="n">
        <v>0</v>
      </c>
      <c r="I10" s="27" t="n"/>
      <c r="J10" s="11">
        <f>IF(E10="","",E10-$C$5)</f>
        <v/>
      </c>
      <c r="K10" s="16">
        <f>IF(E10="","",IF(OR(G10="Entregado",G10="Corregido"),G10,IF(J10&lt;0,"Vencido",IF(J10&lt;=$E$5,"Urgente",IF(J10&lt;=$G$5,"Próximo","En plazo")))))</f>
        <v/>
      </c>
      <c r="L10" s="28">
        <f>IF(OR(I10="",F10=""),"",ROUND(I10*F10,3))</f>
        <v/>
      </c>
      <c r="M10" s="29">
        <f>IF(OR(E10="",G10="Entregado",G10="Corregido"),"",E10+ROW()/100000)</f>
        <v/>
      </c>
      <c r="N10" s="30">
        <f>IF(M10="","",COUNTIFS($B$8:$B$47,B10,$M$8:$M$47,"&lt;"&amp;M10)+1)</f>
        <v/>
      </c>
    </row>
    <row r="11">
      <c r="B11" s="23" t="inlineStr">
        <is>
          <t>Estadística Aplicada</t>
        </is>
      </c>
      <c r="C11" s="23" t="inlineStr">
        <is>
          <t>Práctica 1: descriptiva</t>
        </is>
      </c>
      <c r="D11" s="24" t="inlineStr">
        <is>
          <t>Práctica</t>
        </is>
      </c>
      <c r="E11" s="25" t="n">
        <v>46290</v>
      </c>
      <c r="F11" s="26" t="n">
        <v>0.15</v>
      </c>
      <c r="G11" s="24" t="inlineStr">
        <is>
          <t>Corregido</t>
        </is>
      </c>
      <c r="H11" s="26" t="n">
        <v>1</v>
      </c>
      <c r="I11" s="27" t="n">
        <v>6.5</v>
      </c>
      <c r="J11" s="11">
        <f>IF(E11="","",E11-$C$5)</f>
        <v/>
      </c>
      <c r="K11" s="16">
        <f>IF(E11="","",IF(OR(G11="Entregado",G11="Corregido"),G11,IF(J11&lt;0,"Vencido",IF(J11&lt;=$E$5,"Urgente",IF(J11&lt;=$G$5,"Próximo","En plazo")))))</f>
        <v/>
      </c>
      <c r="L11" s="28">
        <f>IF(OR(I11="",F11=""),"",ROUND(I11*F11,3))</f>
        <v/>
      </c>
      <c r="M11" s="29">
        <f>IF(OR(E11="",G11="Entregado",G11="Corregido"),"",E11+ROW()/100000)</f>
        <v/>
      </c>
      <c r="N11" s="30">
        <f>IF(M11="","",COUNTIFS($B$8:$B$47,B11,$M$8:$M$47,"&lt;"&amp;M11)+1)</f>
        <v/>
      </c>
    </row>
    <row r="12">
      <c r="B12" s="23" t="inlineStr">
        <is>
          <t>Estadística Aplicada</t>
        </is>
      </c>
      <c r="C12" s="23" t="inlineStr">
        <is>
          <t>Práctica 2: regresión</t>
        </is>
      </c>
      <c r="D12" s="24" t="inlineStr">
        <is>
          <t>Práctica</t>
        </is>
      </c>
      <c r="E12" s="25" t="n">
        <v>46301</v>
      </c>
      <c r="F12" s="26" t="n">
        <v>0.15</v>
      </c>
      <c r="G12" s="24" t="inlineStr">
        <is>
          <t>En curso</t>
        </is>
      </c>
      <c r="H12" s="26" t="n">
        <v>0.7</v>
      </c>
      <c r="I12" s="27" t="n"/>
      <c r="J12" s="11">
        <f>IF(E12="","",E12-$C$5)</f>
        <v/>
      </c>
      <c r="K12" s="16">
        <f>IF(E12="","",IF(OR(G12="Entregado",G12="Corregido"),G12,IF(J12&lt;0,"Vencido",IF(J12&lt;=$E$5,"Urgente",IF(J12&lt;=$G$5,"Próximo","En plazo")))))</f>
        <v/>
      </c>
      <c r="L12" s="28">
        <f>IF(OR(I12="",F12=""),"",ROUND(I12*F12,3))</f>
        <v/>
      </c>
      <c r="M12" s="29">
        <f>IF(OR(E12="",G12="Entregado",G12="Corregido"),"",E12+ROW()/100000)</f>
        <v/>
      </c>
      <c r="N12" s="30">
        <f>IF(M12="","",COUNTIFS($B$8:$B$47,B12,$M$8:$M$47,"&lt;"&amp;M12)+1)</f>
        <v/>
      </c>
    </row>
    <row r="13">
      <c r="B13" s="23" t="inlineStr">
        <is>
          <t>Estadística Aplicada</t>
        </is>
      </c>
      <c r="C13" s="23" t="inlineStr">
        <is>
          <t>Proyecto final de datos</t>
        </is>
      </c>
      <c r="D13" s="24" t="inlineStr">
        <is>
          <t>Proyecto</t>
        </is>
      </c>
      <c r="E13" s="25" t="n">
        <v>46367</v>
      </c>
      <c r="F13" s="26" t="n">
        <v>0.3</v>
      </c>
      <c r="G13" s="24" t="inlineStr">
        <is>
          <t>Pendiente</t>
        </is>
      </c>
      <c r="H13" s="26" t="n">
        <v>0.1</v>
      </c>
      <c r="I13" s="27" t="n"/>
      <c r="J13" s="11">
        <f>IF(E13="","",E13-$C$5)</f>
        <v/>
      </c>
      <c r="K13" s="16">
        <f>IF(E13="","",IF(OR(G13="Entregado",G13="Corregido"),G13,IF(J13&lt;0,"Vencido",IF(J13&lt;=$E$5,"Urgente",IF(J13&lt;=$G$5,"Próximo","En plazo")))))</f>
        <v/>
      </c>
      <c r="L13" s="28">
        <f>IF(OR(I13="",F13=""),"",ROUND(I13*F13,3))</f>
        <v/>
      </c>
      <c r="M13" s="29">
        <f>IF(OR(E13="",G13="Entregado",G13="Corregido"),"",E13+ROW()/100000)</f>
        <v/>
      </c>
      <c r="N13" s="30">
        <f>IF(M13="","",COUNTIFS($B$8:$B$47,B13,$M$8:$M$47,"&lt;"&amp;M13)+1)</f>
        <v/>
      </c>
    </row>
    <row r="14">
      <c r="B14" s="23" t="inlineStr">
        <is>
          <t>Historia Contemporánea</t>
        </is>
      </c>
      <c r="C14" s="23" t="inlineStr">
        <is>
          <t>Comentario de texto</t>
        </is>
      </c>
      <c r="D14" s="24" t="inlineStr">
        <is>
          <t>Individual</t>
        </is>
      </c>
      <c r="E14" s="25" t="n">
        <v>46295</v>
      </c>
      <c r="F14" s="26" t="n">
        <v>0.15</v>
      </c>
      <c r="G14" s="24" t="inlineStr">
        <is>
          <t>Entregado</t>
        </is>
      </c>
      <c r="H14" s="26" t="n">
        <v>1</v>
      </c>
      <c r="I14" s="27" t="n"/>
      <c r="J14" s="11">
        <f>IF(E14="","",E14-$C$5)</f>
        <v/>
      </c>
      <c r="K14" s="16">
        <f>IF(E14="","",IF(OR(G14="Entregado",G14="Corregido"),G14,IF(J14&lt;0,"Vencido",IF(J14&lt;=$E$5,"Urgente",IF(J14&lt;=$G$5,"Próximo","En plazo")))))</f>
        <v/>
      </c>
      <c r="L14" s="28">
        <f>IF(OR(I14="",F14=""),"",ROUND(I14*F14,3))</f>
        <v/>
      </c>
      <c r="M14" s="29">
        <f>IF(OR(E14="",G14="Entregado",G14="Corregido"),"",E14+ROW()/100000)</f>
        <v/>
      </c>
      <c r="N14" s="30">
        <f>IF(M14="","",COUNTIFS($B$8:$B$47,B14,$M$8:$M$47,"&lt;"&amp;M14)+1)</f>
        <v/>
      </c>
    </row>
    <row r="15">
      <c r="B15" s="23" t="inlineStr">
        <is>
          <t>Historia Contemporánea</t>
        </is>
      </c>
      <c r="C15" s="23" t="inlineStr">
        <is>
          <t>Exposición oral</t>
        </is>
      </c>
      <c r="D15" s="24" t="inlineStr">
        <is>
          <t>Exposición</t>
        </is>
      </c>
      <c r="E15" s="25" t="n">
        <v>46315</v>
      </c>
      <c r="F15" s="26" t="n">
        <v>0.25</v>
      </c>
      <c r="G15" s="24" t="inlineStr">
        <is>
          <t>En curso</t>
        </is>
      </c>
      <c r="H15" s="26" t="n">
        <v>0.4</v>
      </c>
      <c r="I15" s="27" t="n"/>
      <c r="J15" s="11">
        <f>IF(E15="","",E15-$C$5)</f>
        <v/>
      </c>
      <c r="K15" s="16">
        <f>IF(E15="","",IF(OR(G15="Entregado",G15="Corregido"),G15,IF(J15&lt;0,"Vencido",IF(J15&lt;=$E$5,"Urgente",IF(J15&lt;=$G$5,"Próximo","En plazo")))))</f>
        <v/>
      </c>
      <c r="L15" s="28">
        <f>IF(OR(I15="",F15=""),"",ROUND(I15*F15,3))</f>
        <v/>
      </c>
      <c r="M15" s="29">
        <f>IF(OR(E15="",G15="Entregado",G15="Corregido"),"",E15+ROW()/100000)</f>
        <v/>
      </c>
      <c r="N15" s="30">
        <f>IF(M15="","",COUNTIFS($B$8:$B$47,B15,$M$8:$M$47,"&lt;"&amp;M15)+1)</f>
        <v/>
      </c>
    </row>
    <row r="16">
      <c r="B16" s="23" t="inlineStr">
        <is>
          <t>Historia Contemporánea</t>
        </is>
      </c>
      <c r="C16" s="23" t="inlineStr">
        <is>
          <t>Trabajo monográfico</t>
        </is>
      </c>
      <c r="D16" s="24" t="inlineStr">
        <is>
          <t>Ensayo</t>
        </is>
      </c>
      <c r="E16" s="25" t="n">
        <v>46360</v>
      </c>
      <c r="F16" s="26" t="n">
        <v>0.3</v>
      </c>
      <c r="G16" s="24" t="inlineStr">
        <is>
          <t>Pendiente</t>
        </is>
      </c>
      <c r="H16" s="26" t="n">
        <v>0</v>
      </c>
      <c r="I16" s="27" t="n"/>
      <c r="J16" s="11">
        <f>IF(E16="","",E16-$C$5)</f>
        <v/>
      </c>
      <c r="K16" s="16">
        <f>IF(E16="","",IF(OR(G16="Entregado",G16="Corregido"),G16,IF(J16&lt;0,"Vencido",IF(J16&lt;=$E$5,"Urgente",IF(J16&lt;=$G$5,"Próximo","En plazo")))))</f>
        <v/>
      </c>
      <c r="L16" s="28">
        <f>IF(OR(I16="",F16=""),"",ROUND(I16*F16,3))</f>
        <v/>
      </c>
      <c r="M16" s="29">
        <f>IF(OR(E16="",G16="Entregado",G16="Corregido"),"",E16+ROW()/100000)</f>
        <v/>
      </c>
      <c r="N16" s="30">
        <f>IF(M16="","",COUNTIFS($B$8:$B$47,B16,$M$8:$M$47,"&lt;"&amp;M16)+1)</f>
        <v/>
      </c>
    </row>
    <row r="17">
      <c r="B17" s="23" t="inlineStr">
        <is>
          <t>Derecho Civil</t>
        </is>
      </c>
      <c r="C17" s="23" t="inlineStr">
        <is>
          <t>Caso práctico 1</t>
        </is>
      </c>
      <c r="D17" s="24" t="inlineStr">
        <is>
          <t>Práctica</t>
        </is>
      </c>
      <c r="E17" s="25" t="n">
        <v>46287</v>
      </c>
      <c r="F17" s="26" t="n">
        <v>0.15</v>
      </c>
      <c r="G17" s="24" t="inlineStr">
        <is>
          <t>Corregido</t>
        </is>
      </c>
      <c r="H17" s="26" t="n">
        <v>1</v>
      </c>
      <c r="I17" s="27" t="n">
        <v>5.5</v>
      </c>
      <c r="J17" s="11">
        <f>IF(E17="","",E17-$C$5)</f>
        <v/>
      </c>
      <c r="K17" s="16">
        <f>IF(E17="","",IF(OR(G17="Entregado",G17="Corregido"),G17,IF(J17&lt;0,"Vencido",IF(J17&lt;=$E$5,"Urgente",IF(J17&lt;=$G$5,"Próximo","En plazo")))))</f>
        <v/>
      </c>
      <c r="L17" s="28">
        <f>IF(OR(I17="",F17=""),"",ROUND(I17*F17,3))</f>
        <v/>
      </c>
      <c r="M17" s="29">
        <f>IF(OR(E17="",G17="Entregado",G17="Corregido"),"",E17+ROW()/100000)</f>
        <v/>
      </c>
      <c r="N17" s="30">
        <f>IF(M17="","",COUNTIFS($B$8:$B$47,B17,$M$8:$M$47,"&lt;"&amp;M17)+1)</f>
        <v/>
      </c>
    </row>
    <row r="18">
      <c r="B18" s="23" t="inlineStr">
        <is>
          <t>Derecho Civil</t>
        </is>
      </c>
      <c r="C18" s="23" t="inlineStr">
        <is>
          <t>Caso práctico 2</t>
        </is>
      </c>
      <c r="D18" s="24" t="inlineStr">
        <is>
          <t>Práctica</t>
        </is>
      </c>
      <c r="E18" s="25" t="n">
        <v>46296</v>
      </c>
      <c r="F18" s="26" t="n">
        <v>0.15</v>
      </c>
      <c r="G18" s="24" t="inlineStr">
        <is>
          <t>En curso</t>
        </is>
      </c>
      <c r="H18" s="26" t="n">
        <v>0.8</v>
      </c>
      <c r="I18" s="27" t="n"/>
      <c r="J18" s="11">
        <f>IF(E18="","",E18-$C$5)</f>
        <v/>
      </c>
      <c r="K18" s="16">
        <f>IF(E18="","",IF(OR(G18="Entregado",G18="Corregido"),G18,IF(J18&lt;0,"Vencido",IF(J18&lt;=$E$5,"Urgente",IF(J18&lt;=$G$5,"Próximo","En plazo")))))</f>
        <v/>
      </c>
      <c r="L18" s="28">
        <f>IF(OR(I18="",F18=""),"",ROUND(I18*F18,3))</f>
        <v/>
      </c>
      <c r="M18" s="29">
        <f>IF(OR(E18="",G18="Entregado",G18="Corregido"),"",E18+ROW()/100000)</f>
        <v/>
      </c>
      <c r="N18" s="30">
        <f>IF(M18="","",COUNTIFS($B$8:$B$47,B18,$M$8:$M$47,"&lt;"&amp;M18)+1)</f>
        <v/>
      </c>
    </row>
    <row r="19">
      <c r="B19" s="23" t="inlineStr">
        <is>
          <t>Inglés Académico</t>
        </is>
      </c>
      <c r="C19" s="23" t="inlineStr">
        <is>
          <t>Writing task</t>
        </is>
      </c>
      <c r="D19" s="24" t="inlineStr">
        <is>
          <t>Ensayo</t>
        </is>
      </c>
      <c r="E19" s="25" t="n">
        <v>46293</v>
      </c>
      <c r="F19" s="26" t="n">
        <v>0.2</v>
      </c>
      <c r="G19" s="24" t="inlineStr">
        <is>
          <t>Corregido</t>
        </is>
      </c>
      <c r="H19" s="26" t="n">
        <v>1</v>
      </c>
      <c r="I19" s="27" t="n">
        <v>9</v>
      </c>
      <c r="J19" s="11">
        <f>IF(E19="","",E19-$C$5)</f>
        <v/>
      </c>
      <c r="K19" s="16">
        <f>IF(E19="","",IF(OR(G19="Entregado",G19="Corregido"),G19,IF(J19&lt;0,"Vencido",IF(J19&lt;=$E$5,"Urgente",IF(J19&lt;=$G$5,"Próximo","En plazo")))))</f>
        <v/>
      </c>
      <c r="L19" s="28">
        <f>IF(OR(I19="",F19=""),"",ROUND(I19*F19,3))</f>
        <v/>
      </c>
      <c r="M19" s="29">
        <f>IF(OR(E19="",G19="Entregado",G19="Corregido"),"",E19+ROW()/100000)</f>
        <v/>
      </c>
      <c r="N19" s="30">
        <f>IF(M19="","",COUNTIFS($B$8:$B$47,B19,$M$8:$M$47,"&lt;"&amp;M19)+1)</f>
        <v/>
      </c>
    </row>
    <row r="20">
      <c r="B20" s="23" t="inlineStr">
        <is>
          <t>Inglés Académico</t>
        </is>
      </c>
      <c r="C20" s="23" t="inlineStr">
        <is>
          <t>Presentación oral</t>
        </is>
      </c>
      <c r="D20" s="24" t="inlineStr">
        <is>
          <t>Exposición</t>
        </is>
      </c>
      <c r="E20" s="25" t="n">
        <v>46309</v>
      </c>
      <c r="F20" s="26" t="n">
        <v>0.25</v>
      </c>
      <c r="G20" s="24" t="inlineStr">
        <is>
          <t>En curso</t>
        </is>
      </c>
      <c r="H20" s="26" t="n">
        <v>0.5</v>
      </c>
      <c r="I20" s="27" t="n"/>
      <c r="J20" s="11">
        <f>IF(E20="","",E20-$C$5)</f>
        <v/>
      </c>
      <c r="K20" s="16">
        <f>IF(E20="","",IF(OR(G20="Entregado",G20="Corregido"),G20,IF(J20&lt;0,"Vencido",IF(J20&lt;=$E$5,"Urgente",IF(J20&lt;=$G$5,"Próximo","En plazo")))))</f>
        <v/>
      </c>
      <c r="L20" s="28">
        <f>IF(OR(I20="",F20=""),"",ROUND(I20*F20,3))</f>
        <v/>
      </c>
      <c r="M20" s="29">
        <f>IF(OR(E20="",G20="Entregado",G20="Corregido"),"",E20+ROW()/100000)</f>
        <v/>
      </c>
      <c r="N20" s="30">
        <f>IF(M20="","",COUNTIFS($B$8:$B$47,B20,$M$8:$M$47,"&lt;"&amp;M20)+1)</f>
        <v/>
      </c>
    </row>
    <row r="21">
      <c r="B21" s="23" t="inlineStr">
        <is>
          <t>Metodología de la Investigación</t>
        </is>
      </c>
      <c r="C21" s="23" t="inlineStr">
        <is>
          <t>Diseño de investigación</t>
        </is>
      </c>
      <c r="D21" s="24" t="inlineStr">
        <is>
          <t>Informe</t>
        </is>
      </c>
      <c r="E21" s="25" t="n">
        <v>46300</v>
      </c>
      <c r="F21" s="26" t="n">
        <v>0.25</v>
      </c>
      <c r="G21" s="24" t="inlineStr">
        <is>
          <t>En curso</t>
        </is>
      </c>
      <c r="H21" s="26" t="n">
        <v>0.85</v>
      </c>
      <c r="I21" s="27" t="n"/>
      <c r="J21" s="11">
        <f>IF(E21="","",E21-$C$5)</f>
        <v/>
      </c>
      <c r="K21" s="16">
        <f>IF(E21="","",IF(OR(G21="Entregado",G21="Corregido"),G21,IF(J21&lt;0,"Vencido",IF(J21&lt;=$E$5,"Urgente",IF(J21&lt;=$G$5,"Próximo","En plazo")))))</f>
        <v/>
      </c>
      <c r="L21" s="28">
        <f>IF(OR(I21="",F21=""),"",ROUND(I21*F21,3))</f>
        <v/>
      </c>
      <c r="M21" s="29">
        <f>IF(OR(E21="",G21="Entregado",G21="Corregido"),"",E21+ROW()/100000)</f>
        <v/>
      </c>
      <c r="N21" s="30">
        <f>IF(M21="","",COUNTIFS($B$8:$B$47,B21,$M$8:$M$47,"&lt;"&amp;M21)+1)</f>
        <v/>
      </c>
    </row>
    <row r="22">
      <c r="B22" s="23" t="inlineStr">
        <is>
          <t>Metodología de la Investigación</t>
        </is>
      </c>
      <c r="C22" s="23" t="inlineStr">
        <is>
          <t>Informe de grupo</t>
        </is>
      </c>
      <c r="D22" s="24" t="inlineStr">
        <is>
          <t>Grupo</t>
        </is>
      </c>
      <c r="E22" s="25" t="n">
        <v>46342</v>
      </c>
      <c r="F22" s="26" t="n">
        <v>0.35</v>
      </c>
      <c r="G22" s="24" t="inlineStr">
        <is>
          <t>Pendiente</t>
        </is>
      </c>
      <c r="H22" s="26" t="n">
        <v>0.05</v>
      </c>
      <c r="I22" s="27" t="n"/>
      <c r="J22" s="11">
        <f>IF(E22="","",E22-$C$5)</f>
        <v/>
      </c>
      <c r="K22" s="16">
        <f>IF(E22="","",IF(OR(G22="Entregado",G22="Corregido"),G22,IF(J22&lt;0,"Vencido",IF(J22&lt;=$E$5,"Urgente",IF(J22&lt;=$G$5,"Próximo","En plazo")))))</f>
        <v/>
      </c>
      <c r="L22" s="28">
        <f>IF(OR(I22="",F22=""),"",ROUND(I22*F22,3))</f>
        <v/>
      </c>
      <c r="M22" s="29">
        <f>IF(OR(E22="",G22="Entregado",G22="Corregido"),"",E22+ROW()/100000)</f>
        <v/>
      </c>
      <c r="N22" s="30">
        <f>IF(M22="","",COUNTIFS($B$8:$B$47,B22,$M$8:$M$47,"&lt;"&amp;M22)+1)</f>
        <v/>
      </c>
    </row>
    <row r="23">
      <c r="B23" s="23" t="n"/>
      <c r="C23" s="23" t="n"/>
      <c r="D23" s="24" t="n"/>
      <c r="E23" s="25" t="n"/>
      <c r="F23" s="26" t="n"/>
      <c r="G23" s="24" t="n"/>
      <c r="H23" s="26" t="n"/>
      <c r="I23" s="27" t="n"/>
      <c r="J23" s="11">
        <f>IF(E23="","",E23-$C$5)</f>
        <v/>
      </c>
      <c r="K23" s="16">
        <f>IF(E23="","",IF(OR(G23="Entregado",G23="Corregido"),G23,IF(J23&lt;0,"Vencido",IF(J23&lt;=$E$5,"Urgente",IF(J23&lt;=$G$5,"Próximo","En plazo")))))</f>
        <v/>
      </c>
      <c r="L23" s="28">
        <f>IF(OR(I23="",F23=""),"",ROUND(I23*F23,3))</f>
        <v/>
      </c>
      <c r="M23" s="29">
        <f>IF(OR(E23="",G23="Entregado",G23="Corregido"),"",E23+ROW()/100000)</f>
        <v/>
      </c>
      <c r="N23" s="30">
        <f>IF(M23="","",COUNTIFS($B$8:$B$47,B23,$M$8:$M$47,"&lt;"&amp;M23)+1)</f>
        <v/>
      </c>
    </row>
    <row r="24">
      <c r="B24" s="23" t="n"/>
      <c r="C24" s="23" t="n"/>
      <c r="D24" s="24" t="n"/>
      <c r="E24" s="25" t="n"/>
      <c r="F24" s="26" t="n"/>
      <c r="G24" s="24" t="n"/>
      <c r="H24" s="26" t="n"/>
      <c r="I24" s="27" t="n"/>
      <c r="J24" s="11">
        <f>IF(E24="","",E24-$C$5)</f>
        <v/>
      </c>
      <c r="K24" s="16">
        <f>IF(E24="","",IF(OR(G24="Entregado",G24="Corregido"),G24,IF(J24&lt;0,"Vencido",IF(J24&lt;=$E$5,"Urgente",IF(J24&lt;=$G$5,"Próximo","En plazo")))))</f>
        <v/>
      </c>
      <c r="L24" s="28">
        <f>IF(OR(I24="",F24=""),"",ROUND(I24*F24,3))</f>
        <v/>
      </c>
      <c r="M24" s="29">
        <f>IF(OR(E24="",G24="Entregado",G24="Corregido"),"",E24+ROW()/100000)</f>
        <v/>
      </c>
      <c r="N24" s="30">
        <f>IF(M24="","",COUNTIFS($B$8:$B$47,B24,$M$8:$M$47,"&lt;"&amp;M24)+1)</f>
        <v/>
      </c>
    </row>
    <row r="25">
      <c r="B25" s="23" t="n"/>
      <c r="C25" s="23" t="n"/>
      <c r="D25" s="24" t="n"/>
      <c r="E25" s="25" t="n"/>
      <c r="F25" s="26" t="n"/>
      <c r="G25" s="24" t="n"/>
      <c r="H25" s="26" t="n"/>
      <c r="I25" s="27" t="n"/>
      <c r="J25" s="11">
        <f>IF(E25="","",E25-$C$5)</f>
        <v/>
      </c>
      <c r="K25" s="16">
        <f>IF(E25="","",IF(OR(G25="Entregado",G25="Corregido"),G25,IF(J25&lt;0,"Vencido",IF(J25&lt;=$E$5,"Urgente",IF(J25&lt;=$G$5,"Próximo","En plazo")))))</f>
        <v/>
      </c>
      <c r="L25" s="28">
        <f>IF(OR(I25="",F25=""),"",ROUND(I25*F25,3))</f>
        <v/>
      </c>
      <c r="M25" s="29">
        <f>IF(OR(E25="",G25="Entregado",G25="Corregido"),"",E25+ROW()/100000)</f>
        <v/>
      </c>
      <c r="N25" s="30">
        <f>IF(M25="","",COUNTIFS($B$8:$B$47,B25,$M$8:$M$47,"&lt;"&amp;M25)+1)</f>
        <v/>
      </c>
    </row>
    <row r="26">
      <c r="B26" s="23" t="n"/>
      <c r="C26" s="23" t="n"/>
      <c r="D26" s="24" t="n"/>
      <c r="E26" s="25" t="n"/>
      <c r="F26" s="26" t="n"/>
      <c r="G26" s="24" t="n"/>
      <c r="H26" s="26" t="n"/>
      <c r="I26" s="27" t="n"/>
      <c r="J26" s="11">
        <f>IF(E26="","",E26-$C$5)</f>
        <v/>
      </c>
      <c r="K26" s="16">
        <f>IF(E26="","",IF(OR(G26="Entregado",G26="Corregido"),G26,IF(J26&lt;0,"Vencido",IF(J26&lt;=$E$5,"Urgente",IF(J26&lt;=$G$5,"Próximo","En plazo")))))</f>
        <v/>
      </c>
      <c r="L26" s="28">
        <f>IF(OR(I26="",F26=""),"",ROUND(I26*F26,3))</f>
        <v/>
      </c>
      <c r="M26" s="29">
        <f>IF(OR(E26="",G26="Entregado",G26="Corregido"),"",E26+ROW()/100000)</f>
        <v/>
      </c>
      <c r="N26" s="30">
        <f>IF(M26="","",COUNTIFS($B$8:$B$47,B26,$M$8:$M$47,"&lt;"&amp;M26)+1)</f>
        <v/>
      </c>
    </row>
    <row r="27">
      <c r="B27" s="23" t="n"/>
      <c r="C27" s="23" t="n"/>
      <c r="D27" s="24" t="n"/>
      <c r="E27" s="25" t="n"/>
      <c r="F27" s="26" t="n"/>
      <c r="G27" s="24" t="n"/>
      <c r="H27" s="26" t="n"/>
      <c r="I27" s="27" t="n"/>
      <c r="J27" s="11">
        <f>IF(E27="","",E27-$C$5)</f>
        <v/>
      </c>
      <c r="K27" s="16">
        <f>IF(E27="","",IF(OR(G27="Entregado",G27="Corregido"),G27,IF(J27&lt;0,"Vencido",IF(J27&lt;=$E$5,"Urgente",IF(J27&lt;=$G$5,"Próximo","En plazo")))))</f>
        <v/>
      </c>
      <c r="L27" s="28">
        <f>IF(OR(I27="",F27=""),"",ROUND(I27*F27,3))</f>
        <v/>
      </c>
      <c r="M27" s="29">
        <f>IF(OR(E27="",G27="Entregado",G27="Corregido"),"",E27+ROW()/100000)</f>
        <v/>
      </c>
      <c r="N27" s="30">
        <f>IF(M27="","",COUNTIFS($B$8:$B$47,B27,$M$8:$M$47,"&lt;"&amp;M27)+1)</f>
        <v/>
      </c>
    </row>
    <row r="28">
      <c r="B28" s="23" t="n"/>
      <c r="C28" s="23" t="n"/>
      <c r="D28" s="24" t="n"/>
      <c r="E28" s="25" t="n"/>
      <c r="F28" s="26" t="n"/>
      <c r="G28" s="24" t="n"/>
      <c r="H28" s="26" t="n"/>
      <c r="I28" s="27" t="n"/>
      <c r="J28" s="11">
        <f>IF(E28="","",E28-$C$5)</f>
        <v/>
      </c>
      <c r="K28" s="16">
        <f>IF(E28="","",IF(OR(G28="Entregado",G28="Corregido"),G28,IF(J28&lt;0,"Vencido",IF(J28&lt;=$E$5,"Urgente",IF(J28&lt;=$G$5,"Próximo","En plazo")))))</f>
        <v/>
      </c>
      <c r="L28" s="28">
        <f>IF(OR(I28="",F28=""),"",ROUND(I28*F28,3))</f>
        <v/>
      </c>
      <c r="M28" s="29">
        <f>IF(OR(E28="",G28="Entregado",G28="Corregido"),"",E28+ROW()/100000)</f>
        <v/>
      </c>
      <c r="N28" s="30">
        <f>IF(M28="","",COUNTIFS($B$8:$B$47,B28,$M$8:$M$47,"&lt;"&amp;M28)+1)</f>
        <v/>
      </c>
    </row>
    <row r="29">
      <c r="B29" s="23" t="n"/>
      <c r="C29" s="23" t="n"/>
      <c r="D29" s="24" t="n"/>
      <c r="E29" s="25" t="n"/>
      <c r="F29" s="26" t="n"/>
      <c r="G29" s="24" t="n"/>
      <c r="H29" s="26" t="n"/>
      <c r="I29" s="27" t="n"/>
      <c r="J29" s="11">
        <f>IF(E29="","",E29-$C$5)</f>
        <v/>
      </c>
      <c r="K29" s="16">
        <f>IF(E29="","",IF(OR(G29="Entregado",G29="Corregido"),G29,IF(J29&lt;0,"Vencido",IF(J29&lt;=$E$5,"Urgente",IF(J29&lt;=$G$5,"Próximo","En plazo")))))</f>
        <v/>
      </c>
      <c r="L29" s="28">
        <f>IF(OR(I29="",F29=""),"",ROUND(I29*F29,3))</f>
        <v/>
      </c>
      <c r="M29" s="29">
        <f>IF(OR(E29="",G29="Entregado",G29="Corregido"),"",E29+ROW()/100000)</f>
        <v/>
      </c>
      <c r="N29" s="30">
        <f>IF(M29="","",COUNTIFS($B$8:$B$47,B29,$M$8:$M$47,"&lt;"&amp;M29)+1)</f>
        <v/>
      </c>
    </row>
    <row r="30">
      <c r="B30" s="23" t="n"/>
      <c r="C30" s="23" t="n"/>
      <c r="D30" s="24" t="n"/>
      <c r="E30" s="25" t="n"/>
      <c r="F30" s="26" t="n"/>
      <c r="G30" s="24" t="n"/>
      <c r="H30" s="26" t="n"/>
      <c r="I30" s="27" t="n"/>
      <c r="J30" s="11">
        <f>IF(E30="","",E30-$C$5)</f>
        <v/>
      </c>
      <c r="K30" s="16">
        <f>IF(E30="","",IF(OR(G30="Entregado",G30="Corregido"),G30,IF(J30&lt;0,"Vencido",IF(J30&lt;=$E$5,"Urgente",IF(J30&lt;=$G$5,"Próximo","En plazo")))))</f>
        <v/>
      </c>
      <c r="L30" s="28">
        <f>IF(OR(I30="",F30=""),"",ROUND(I30*F30,3))</f>
        <v/>
      </c>
      <c r="M30" s="29">
        <f>IF(OR(E30="",G30="Entregado",G30="Corregido"),"",E30+ROW()/100000)</f>
        <v/>
      </c>
      <c r="N30" s="30">
        <f>IF(M30="","",COUNTIFS($B$8:$B$47,B30,$M$8:$M$47,"&lt;"&amp;M30)+1)</f>
        <v/>
      </c>
    </row>
    <row r="31">
      <c r="B31" s="23" t="n"/>
      <c r="C31" s="23" t="n"/>
      <c r="D31" s="24" t="n"/>
      <c r="E31" s="25" t="n"/>
      <c r="F31" s="26" t="n"/>
      <c r="G31" s="24" t="n"/>
      <c r="H31" s="26" t="n"/>
      <c r="I31" s="27" t="n"/>
      <c r="J31" s="11">
        <f>IF(E31="","",E31-$C$5)</f>
        <v/>
      </c>
      <c r="K31" s="16">
        <f>IF(E31="","",IF(OR(G31="Entregado",G31="Corregido"),G31,IF(J31&lt;0,"Vencido",IF(J31&lt;=$E$5,"Urgente",IF(J31&lt;=$G$5,"Próximo","En plazo")))))</f>
        <v/>
      </c>
      <c r="L31" s="28">
        <f>IF(OR(I31="",F31=""),"",ROUND(I31*F31,3))</f>
        <v/>
      </c>
      <c r="M31" s="29">
        <f>IF(OR(E31="",G31="Entregado",G31="Corregido"),"",E31+ROW()/100000)</f>
        <v/>
      </c>
      <c r="N31" s="30">
        <f>IF(M31="","",COUNTIFS($B$8:$B$47,B31,$M$8:$M$47,"&lt;"&amp;M31)+1)</f>
        <v/>
      </c>
    </row>
    <row r="32">
      <c r="B32" s="23" t="n"/>
      <c r="C32" s="23" t="n"/>
      <c r="D32" s="24" t="n"/>
      <c r="E32" s="25" t="n"/>
      <c r="F32" s="26" t="n"/>
      <c r="G32" s="24" t="n"/>
      <c r="H32" s="26" t="n"/>
      <c r="I32" s="27" t="n"/>
      <c r="J32" s="11">
        <f>IF(E32="","",E32-$C$5)</f>
        <v/>
      </c>
      <c r="K32" s="16">
        <f>IF(E32="","",IF(OR(G32="Entregado",G32="Corregido"),G32,IF(J32&lt;0,"Vencido",IF(J32&lt;=$E$5,"Urgente",IF(J32&lt;=$G$5,"Próximo","En plazo")))))</f>
        <v/>
      </c>
      <c r="L32" s="28">
        <f>IF(OR(I32="",F32=""),"",ROUND(I32*F32,3))</f>
        <v/>
      </c>
      <c r="M32" s="29">
        <f>IF(OR(E32="",G32="Entregado",G32="Corregido"),"",E32+ROW()/100000)</f>
        <v/>
      </c>
      <c r="N32" s="30">
        <f>IF(M32="","",COUNTIFS($B$8:$B$47,B32,$M$8:$M$47,"&lt;"&amp;M32)+1)</f>
        <v/>
      </c>
    </row>
    <row r="33">
      <c r="B33" s="23" t="n"/>
      <c r="C33" s="23" t="n"/>
      <c r="D33" s="24" t="n"/>
      <c r="E33" s="25" t="n"/>
      <c r="F33" s="26" t="n"/>
      <c r="G33" s="24" t="n"/>
      <c r="H33" s="26" t="n"/>
      <c r="I33" s="27" t="n"/>
      <c r="J33" s="11">
        <f>IF(E33="","",E33-$C$5)</f>
        <v/>
      </c>
      <c r="K33" s="16">
        <f>IF(E33="","",IF(OR(G33="Entregado",G33="Corregido"),G33,IF(J33&lt;0,"Vencido",IF(J33&lt;=$E$5,"Urgente",IF(J33&lt;=$G$5,"Próximo","En plazo")))))</f>
        <v/>
      </c>
      <c r="L33" s="28">
        <f>IF(OR(I33="",F33=""),"",ROUND(I33*F33,3))</f>
        <v/>
      </c>
      <c r="M33" s="29">
        <f>IF(OR(E33="",G33="Entregado",G33="Corregido"),"",E33+ROW()/100000)</f>
        <v/>
      </c>
      <c r="N33" s="30">
        <f>IF(M33="","",COUNTIFS($B$8:$B$47,B33,$M$8:$M$47,"&lt;"&amp;M33)+1)</f>
        <v/>
      </c>
    </row>
    <row r="34">
      <c r="B34" s="23" t="n"/>
      <c r="C34" s="23" t="n"/>
      <c r="D34" s="24" t="n"/>
      <c r="E34" s="25" t="n"/>
      <c r="F34" s="26" t="n"/>
      <c r="G34" s="24" t="n"/>
      <c r="H34" s="26" t="n"/>
      <c r="I34" s="27" t="n"/>
      <c r="J34" s="11">
        <f>IF(E34="","",E34-$C$5)</f>
        <v/>
      </c>
      <c r="K34" s="16">
        <f>IF(E34="","",IF(OR(G34="Entregado",G34="Corregido"),G34,IF(J34&lt;0,"Vencido",IF(J34&lt;=$E$5,"Urgente",IF(J34&lt;=$G$5,"Próximo","En plazo")))))</f>
        <v/>
      </c>
      <c r="L34" s="28">
        <f>IF(OR(I34="",F34=""),"",ROUND(I34*F34,3))</f>
        <v/>
      </c>
      <c r="M34" s="29">
        <f>IF(OR(E34="",G34="Entregado",G34="Corregido"),"",E34+ROW()/100000)</f>
        <v/>
      </c>
      <c r="N34" s="30">
        <f>IF(M34="","",COUNTIFS($B$8:$B$47,B34,$M$8:$M$47,"&lt;"&amp;M34)+1)</f>
        <v/>
      </c>
    </row>
    <row r="35">
      <c r="B35" s="23" t="n"/>
      <c r="C35" s="23" t="n"/>
      <c r="D35" s="24" t="n"/>
      <c r="E35" s="25" t="n"/>
      <c r="F35" s="26" t="n"/>
      <c r="G35" s="24" t="n"/>
      <c r="H35" s="26" t="n"/>
      <c r="I35" s="27" t="n"/>
      <c r="J35" s="11">
        <f>IF(E35="","",E35-$C$5)</f>
        <v/>
      </c>
      <c r="K35" s="16">
        <f>IF(E35="","",IF(OR(G35="Entregado",G35="Corregido"),G35,IF(J35&lt;0,"Vencido",IF(J35&lt;=$E$5,"Urgente",IF(J35&lt;=$G$5,"Próximo","En plazo")))))</f>
        <v/>
      </c>
      <c r="L35" s="28">
        <f>IF(OR(I35="",F35=""),"",ROUND(I35*F35,3))</f>
        <v/>
      </c>
      <c r="M35" s="29">
        <f>IF(OR(E35="",G35="Entregado",G35="Corregido"),"",E35+ROW()/100000)</f>
        <v/>
      </c>
      <c r="N35" s="30">
        <f>IF(M35="","",COUNTIFS($B$8:$B$47,B35,$M$8:$M$47,"&lt;"&amp;M35)+1)</f>
        <v/>
      </c>
    </row>
    <row r="36">
      <c r="B36" s="23" t="n"/>
      <c r="C36" s="23" t="n"/>
      <c r="D36" s="24" t="n"/>
      <c r="E36" s="25" t="n"/>
      <c r="F36" s="26" t="n"/>
      <c r="G36" s="24" t="n"/>
      <c r="H36" s="26" t="n"/>
      <c r="I36" s="27" t="n"/>
      <c r="J36" s="11">
        <f>IF(E36="","",E36-$C$5)</f>
        <v/>
      </c>
      <c r="K36" s="16">
        <f>IF(E36="","",IF(OR(G36="Entregado",G36="Corregido"),G36,IF(J36&lt;0,"Vencido",IF(J36&lt;=$E$5,"Urgente",IF(J36&lt;=$G$5,"Próximo","En plazo")))))</f>
        <v/>
      </c>
      <c r="L36" s="28">
        <f>IF(OR(I36="",F36=""),"",ROUND(I36*F36,3))</f>
        <v/>
      </c>
      <c r="M36" s="29">
        <f>IF(OR(E36="",G36="Entregado",G36="Corregido"),"",E36+ROW()/100000)</f>
        <v/>
      </c>
      <c r="N36" s="30">
        <f>IF(M36="","",COUNTIFS($B$8:$B$47,B36,$M$8:$M$47,"&lt;"&amp;M36)+1)</f>
        <v/>
      </c>
    </row>
    <row r="37">
      <c r="B37" s="23" t="n"/>
      <c r="C37" s="23" t="n"/>
      <c r="D37" s="24" t="n"/>
      <c r="E37" s="25" t="n"/>
      <c r="F37" s="26" t="n"/>
      <c r="G37" s="24" t="n"/>
      <c r="H37" s="26" t="n"/>
      <c r="I37" s="27" t="n"/>
      <c r="J37" s="11">
        <f>IF(E37="","",E37-$C$5)</f>
        <v/>
      </c>
      <c r="K37" s="16">
        <f>IF(E37="","",IF(OR(G37="Entregado",G37="Corregido"),G37,IF(J37&lt;0,"Vencido",IF(J37&lt;=$E$5,"Urgente",IF(J37&lt;=$G$5,"Próximo","En plazo")))))</f>
        <v/>
      </c>
      <c r="L37" s="28">
        <f>IF(OR(I37="",F37=""),"",ROUND(I37*F37,3))</f>
        <v/>
      </c>
      <c r="M37" s="29">
        <f>IF(OR(E37="",G37="Entregado",G37="Corregido"),"",E37+ROW()/100000)</f>
        <v/>
      </c>
      <c r="N37" s="30">
        <f>IF(M37="","",COUNTIFS($B$8:$B$47,B37,$M$8:$M$47,"&lt;"&amp;M37)+1)</f>
        <v/>
      </c>
    </row>
    <row r="38">
      <c r="B38" s="23" t="n"/>
      <c r="C38" s="23" t="n"/>
      <c r="D38" s="24" t="n"/>
      <c r="E38" s="25" t="n"/>
      <c r="F38" s="26" t="n"/>
      <c r="G38" s="24" t="n"/>
      <c r="H38" s="26" t="n"/>
      <c r="I38" s="27" t="n"/>
      <c r="J38" s="11">
        <f>IF(E38="","",E38-$C$5)</f>
        <v/>
      </c>
      <c r="K38" s="16">
        <f>IF(E38="","",IF(OR(G38="Entregado",G38="Corregido"),G38,IF(J38&lt;0,"Vencido",IF(J38&lt;=$E$5,"Urgente",IF(J38&lt;=$G$5,"Próximo","En plazo")))))</f>
        <v/>
      </c>
      <c r="L38" s="28">
        <f>IF(OR(I38="",F38=""),"",ROUND(I38*F38,3))</f>
        <v/>
      </c>
      <c r="M38" s="29">
        <f>IF(OR(E38="",G38="Entregado",G38="Corregido"),"",E38+ROW()/100000)</f>
        <v/>
      </c>
      <c r="N38" s="30">
        <f>IF(M38="","",COUNTIFS($B$8:$B$47,B38,$M$8:$M$47,"&lt;"&amp;M38)+1)</f>
        <v/>
      </c>
    </row>
    <row r="39">
      <c r="B39" s="23" t="n"/>
      <c r="C39" s="23" t="n"/>
      <c r="D39" s="24" t="n"/>
      <c r="E39" s="25" t="n"/>
      <c r="F39" s="26" t="n"/>
      <c r="G39" s="24" t="n"/>
      <c r="H39" s="26" t="n"/>
      <c r="I39" s="27" t="n"/>
      <c r="J39" s="11">
        <f>IF(E39="","",E39-$C$5)</f>
        <v/>
      </c>
      <c r="K39" s="16">
        <f>IF(E39="","",IF(OR(G39="Entregado",G39="Corregido"),G39,IF(J39&lt;0,"Vencido",IF(J39&lt;=$E$5,"Urgente",IF(J39&lt;=$G$5,"Próximo","En plazo")))))</f>
        <v/>
      </c>
      <c r="L39" s="28">
        <f>IF(OR(I39="",F39=""),"",ROUND(I39*F39,3))</f>
        <v/>
      </c>
      <c r="M39" s="29">
        <f>IF(OR(E39="",G39="Entregado",G39="Corregido"),"",E39+ROW()/100000)</f>
        <v/>
      </c>
      <c r="N39" s="30">
        <f>IF(M39="","",COUNTIFS($B$8:$B$47,B39,$M$8:$M$47,"&lt;"&amp;M39)+1)</f>
        <v/>
      </c>
    </row>
    <row r="40">
      <c r="B40" s="23" t="n"/>
      <c r="C40" s="23" t="n"/>
      <c r="D40" s="24" t="n"/>
      <c r="E40" s="25" t="n"/>
      <c r="F40" s="26" t="n"/>
      <c r="G40" s="24" t="n"/>
      <c r="H40" s="26" t="n"/>
      <c r="I40" s="27" t="n"/>
      <c r="J40" s="11">
        <f>IF(E40="","",E40-$C$5)</f>
        <v/>
      </c>
      <c r="K40" s="16">
        <f>IF(E40="","",IF(OR(G40="Entregado",G40="Corregido"),G40,IF(J40&lt;0,"Vencido",IF(J40&lt;=$E$5,"Urgente",IF(J40&lt;=$G$5,"Próximo","En plazo")))))</f>
        <v/>
      </c>
      <c r="L40" s="28">
        <f>IF(OR(I40="",F40=""),"",ROUND(I40*F40,3))</f>
        <v/>
      </c>
      <c r="M40" s="29">
        <f>IF(OR(E40="",G40="Entregado",G40="Corregido"),"",E40+ROW()/100000)</f>
        <v/>
      </c>
      <c r="N40" s="30">
        <f>IF(M40="","",COUNTIFS($B$8:$B$47,B40,$M$8:$M$47,"&lt;"&amp;M40)+1)</f>
        <v/>
      </c>
    </row>
    <row r="41">
      <c r="B41" s="23" t="n"/>
      <c r="C41" s="23" t="n"/>
      <c r="D41" s="24" t="n"/>
      <c r="E41" s="25" t="n"/>
      <c r="F41" s="26" t="n"/>
      <c r="G41" s="24" t="n"/>
      <c r="H41" s="26" t="n"/>
      <c r="I41" s="27" t="n"/>
      <c r="J41" s="11">
        <f>IF(E41="","",E41-$C$5)</f>
        <v/>
      </c>
      <c r="K41" s="16">
        <f>IF(E41="","",IF(OR(G41="Entregado",G41="Corregido"),G41,IF(J41&lt;0,"Vencido",IF(J41&lt;=$E$5,"Urgente",IF(J41&lt;=$G$5,"Próximo","En plazo")))))</f>
        <v/>
      </c>
      <c r="L41" s="28">
        <f>IF(OR(I41="",F41=""),"",ROUND(I41*F41,3))</f>
        <v/>
      </c>
      <c r="M41" s="29">
        <f>IF(OR(E41="",G41="Entregado",G41="Corregido"),"",E41+ROW()/100000)</f>
        <v/>
      </c>
      <c r="N41" s="30">
        <f>IF(M41="","",COUNTIFS($B$8:$B$47,B41,$M$8:$M$47,"&lt;"&amp;M41)+1)</f>
        <v/>
      </c>
    </row>
    <row r="42">
      <c r="B42" s="23" t="n"/>
      <c r="C42" s="23" t="n"/>
      <c r="D42" s="24" t="n"/>
      <c r="E42" s="25" t="n"/>
      <c r="F42" s="26" t="n"/>
      <c r="G42" s="24" t="n"/>
      <c r="H42" s="26" t="n"/>
      <c r="I42" s="27" t="n"/>
      <c r="J42" s="11">
        <f>IF(E42="","",E42-$C$5)</f>
        <v/>
      </c>
      <c r="K42" s="16">
        <f>IF(E42="","",IF(OR(G42="Entregado",G42="Corregido"),G42,IF(J42&lt;0,"Vencido",IF(J42&lt;=$E$5,"Urgente",IF(J42&lt;=$G$5,"Próximo","En plazo")))))</f>
        <v/>
      </c>
      <c r="L42" s="28">
        <f>IF(OR(I42="",F42=""),"",ROUND(I42*F42,3))</f>
        <v/>
      </c>
      <c r="M42" s="29">
        <f>IF(OR(E42="",G42="Entregado",G42="Corregido"),"",E42+ROW()/100000)</f>
        <v/>
      </c>
      <c r="N42" s="30">
        <f>IF(M42="","",COUNTIFS($B$8:$B$47,B42,$M$8:$M$47,"&lt;"&amp;M42)+1)</f>
        <v/>
      </c>
    </row>
    <row r="43">
      <c r="B43" s="23" t="n"/>
      <c r="C43" s="23" t="n"/>
      <c r="D43" s="24" t="n"/>
      <c r="E43" s="25" t="n"/>
      <c r="F43" s="26" t="n"/>
      <c r="G43" s="24" t="n"/>
      <c r="H43" s="26" t="n"/>
      <c r="I43" s="27" t="n"/>
      <c r="J43" s="11">
        <f>IF(E43="","",E43-$C$5)</f>
        <v/>
      </c>
      <c r="K43" s="16">
        <f>IF(E43="","",IF(OR(G43="Entregado",G43="Corregido"),G43,IF(J43&lt;0,"Vencido",IF(J43&lt;=$E$5,"Urgente",IF(J43&lt;=$G$5,"Próximo","En plazo")))))</f>
        <v/>
      </c>
      <c r="L43" s="28">
        <f>IF(OR(I43="",F43=""),"",ROUND(I43*F43,3))</f>
        <v/>
      </c>
      <c r="M43" s="29">
        <f>IF(OR(E43="",G43="Entregado",G43="Corregido"),"",E43+ROW()/100000)</f>
        <v/>
      </c>
      <c r="N43" s="30">
        <f>IF(M43="","",COUNTIFS($B$8:$B$47,B43,$M$8:$M$47,"&lt;"&amp;M43)+1)</f>
        <v/>
      </c>
    </row>
    <row r="44">
      <c r="B44" s="23" t="n"/>
      <c r="C44" s="23" t="n"/>
      <c r="D44" s="24" t="n"/>
      <c r="E44" s="25" t="n"/>
      <c r="F44" s="26" t="n"/>
      <c r="G44" s="24" t="n"/>
      <c r="H44" s="26" t="n"/>
      <c r="I44" s="27" t="n"/>
      <c r="J44" s="11">
        <f>IF(E44="","",E44-$C$5)</f>
        <v/>
      </c>
      <c r="K44" s="16">
        <f>IF(E44="","",IF(OR(G44="Entregado",G44="Corregido"),G44,IF(J44&lt;0,"Vencido",IF(J44&lt;=$E$5,"Urgente",IF(J44&lt;=$G$5,"Próximo","En plazo")))))</f>
        <v/>
      </c>
      <c r="L44" s="28">
        <f>IF(OR(I44="",F44=""),"",ROUND(I44*F44,3))</f>
        <v/>
      </c>
      <c r="M44" s="29">
        <f>IF(OR(E44="",G44="Entregado",G44="Corregido"),"",E44+ROW()/100000)</f>
        <v/>
      </c>
      <c r="N44" s="30">
        <f>IF(M44="","",COUNTIFS($B$8:$B$47,B44,$M$8:$M$47,"&lt;"&amp;M44)+1)</f>
        <v/>
      </c>
    </row>
    <row r="45">
      <c r="B45" s="23" t="n"/>
      <c r="C45" s="23" t="n"/>
      <c r="D45" s="24" t="n"/>
      <c r="E45" s="25" t="n"/>
      <c r="F45" s="26" t="n"/>
      <c r="G45" s="24" t="n"/>
      <c r="H45" s="26" t="n"/>
      <c r="I45" s="27" t="n"/>
      <c r="J45" s="11">
        <f>IF(E45="","",E45-$C$5)</f>
        <v/>
      </c>
      <c r="K45" s="16">
        <f>IF(E45="","",IF(OR(G45="Entregado",G45="Corregido"),G45,IF(J45&lt;0,"Vencido",IF(J45&lt;=$E$5,"Urgente",IF(J45&lt;=$G$5,"Próximo","En plazo")))))</f>
        <v/>
      </c>
      <c r="L45" s="28">
        <f>IF(OR(I45="",F45=""),"",ROUND(I45*F45,3))</f>
        <v/>
      </c>
      <c r="M45" s="29">
        <f>IF(OR(E45="",G45="Entregado",G45="Corregido"),"",E45+ROW()/100000)</f>
        <v/>
      </c>
      <c r="N45" s="30">
        <f>IF(M45="","",COUNTIFS($B$8:$B$47,B45,$M$8:$M$47,"&lt;"&amp;M45)+1)</f>
        <v/>
      </c>
    </row>
    <row r="46">
      <c r="B46" s="23" t="n"/>
      <c r="C46" s="23" t="n"/>
      <c r="D46" s="24" t="n"/>
      <c r="E46" s="25" t="n"/>
      <c r="F46" s="26" t="n"/>
      <c r="G46" s="24" t="n"/>
      <c r="H46" s="26" t="n"/>
      <c r="I46" s="27" t="n"/>
      <c r="J46" s="11">
        <f>IF(E46="","",E46-$C$5)</f>
        <v/>
      </c>
      <c r="K46" s="16">
        <f>IF(E46="","",IF(OR(G46="Entregado",G46="Corregido"),G46,IF(J46&lt;0,"Vencido",IF(J46&lt;=$E$5,"Urgente",IF(J46&lt;=$G$5,"Próximo","En plazo")))))</f>
        <v/>
      </c>
      <c r="L46" s="28">
        <f>IF(OR(I46="",F46=""),"",ROUND(I46*F46,3))</f>
        <v/>
      </c>
      <c r="M46" s="29">
        <f>IF(OR(E46="",G46="Entregado",G46="Corregido"),"",E46+ROW()/100000)</f>
        <v/>
      </c>
      <c r="N46" s="30">
        <f>IF(M46="","",COUNTIFS($B$8:$B$47,B46,$M$8:$M$47,"&lt;"&amp;M46)+1)</f>
        <v/>
      </c>
    </row>
    <row r="47">
      <c r="B47" s="23" t="n"/>
      <c r="C47" s="23" t="n"/>
      <c r="D47" s="24" t="n"/>
      <c r="E47" s="25" t="n"/>
      <c r="F47" s="26" t="n"/>
      <c r="G47" s="24" t="n"/>
      <c r="H47" s="26" t="n"/>
      <c r="I47" s="27" t="n"/>
      <c r="J47" s="11">
        <f>IF(E47="","",E47-$C$5)</f>
        <v/>
      </c>
      <c r="K47" s="16">
        <f>IF(E47="","",IF(OR(G47="Entregado",G47="Corregido"),G47,IF(J47&lt;0,"Vencido",IF(J47&lt;=$E$5,"Urgente",IF(J47&lt;=$G$5,"Próximo","En plazo")))))</f>
        <v/>
      </c>
      <c r="L47" s="28">
        <f>IF(OR(I47="",F47=""),"",ROUND(I47*F47,3))</f>
        <v/>
      </c>
      <c r="M47" s="29">
        <f>IF(OR(E47="",G47="Entregado",G47="Corregido"),"",E47+ROW()/100000)</f>
        <v/>
      </c>
      <c r="N47" s="30">
        <f>IF(M47="","",COUNTIFS($B$8:$B$47,B47,$M$8:$M$47,"&lt;"&amp;M47)+1)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L2"/>
    <mergeCell ref="B3:L3"/>
  </mergeCells>
  <conditionalFormatting sqref="B8:L47">
    <cfRule type="expression" priority="1" dxfId="0">
      <formula>$K8="Vencido"</formula>
    </cfRule>
    <cfRule type="expression" priority="2" dxfId="1">
      <formula>$K8="Urgente"</formula>
    </cfRule>
    <cfRule type="expression" priority="3" dxfId="2">
      <formula>$K8="Próximo"</formula>
    </cfRule>
    <cfRule type="expression" priority="4" dxfId="3">
      <formula>OR($K8="Entregado",$K8="Corregido")</formula>
    </cfRule>
  </conditionalFormatting>
  <conditionalFormatting sqref="H8:H47">
    <cfRule type="dataBar" priority="5">
      <dataBar>
        <cfvo type="num" val="0"/>
        <cfvo type="max"/>
        <color rgb="0010B981"/>
      </dataBar>
    </cfRule>
  </conditionalFormatting>
  <dataValidations count="5">
    <dataValidation sqref="B8:B47" showDropDown="0" showInputMessage="0" showErrorMessage="0" allowBlank="1" type="list">
      <formula1>=Asignaturas!$B$8:$B$19</formula1>
    </dataValidation>
    <dataValidation sqref="D8:D47" showDropDown="0" showInputMessage="0" showErrorMessage="0" allowBlank="1" type="list">
      <formula1>=Listas!$A$2:$A$8</formula1>
    </dataValidation>
    <dataValidation sqref="G8:G47" showDropDown="0" showInputMessage="0" showErrorMessage="0" allowBlank="1" type="list">
      <formula1>=Listas!$B$2:$B$5</formula1>
    </dataValidation>
    <dataValidation sqref="I8:I47" showDropDown="0" showInputMessage="0" showErrorMessage="1" allowBlank="1" errorTitle="Nota" error="Introduce una nota entre 0 y 10." type="decimal" operator="between">
      <formula1>0</formula1>
      <formula2>10</formula2>
    </dataValidation>
    <dataValidation sqref="F8:F47 H8:H47" showDropDown="0" showInputMessage="0" showErrorMessage="1" allowBlank="1" errorTitle="Porcentaje" error="Escribe un porcentaje entre 0% y 100%." type="decimal" operator="between">
      <formula1>0</formula1>
      <formula2>1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0B981"/>
    <outlinePr summaryBelow="1" summaryRight="1"/>
    <pageSetUpPr fitToPage="1"/>
  </sheetPr>
  <dimension ref="B2:L21"/>
  <sheetViews>
    <sheetView showGridLines="0" workbookViewId="0">
      <pane xSplit="2" ySplit="7" topLeftCell="C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28" customWidth="1" min="2" max="2"/>
    <col width="10" customWidth="1" min="3" max="3"/>
    <col width="11" customWidth="1" min="4" max="4"/>
    <col width="11" customWidth="1" min="5" max="5"/>
    <col width="12" customWidth="1" min="6" max="6"/>
    <col width="13" customWidth="1" min="7" max="7"/>
    <col width="14" customWidth="1" min="8" max="8"/>
    <col width="12" customWidth="1" min="9" max="9"/>
    <col width="14" customWidth="1" min="10" max="10"/>
    <col width="9" customWidth="1" min="11" max="11"/>
    <col width="15" customWidth="1" min="12" max="12"/>
  </cols>
  <sheetData>
    <row r="2" ht="34" customHeight="1">
      <c r="B2" s="1" t="inlineStr">
        <is>
          <t>Asignaturas y nota de trabajos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>
      <c r="B3" s="3" t="inlineStr">
        <is>
          <t>Lista tus asignaturas (hasta 12): el resumen de entregas, nota y próxima fecha se calcula solo.</t>
        </is>
      </c>
    </row>
    <row r="5">
      <c r="B5" s="10" t="inlineStr">
        <is>
          <t>Nota mínima para aprobar:</t>
        </is>
      </c>
      <c r="D5" s="27" t="n">
        <v>5</v>
      </c>
    </row>
    <row r="7" ht="32" customHeight="1">
      <c r="B7" s="9" t="inlineStr">
        <is>
          <t>Asignatura</t>
        </is>
      </c>
      <c r="C7" s="9" t="inlineStr">
        <is>
          <t>Nº trabajos</t>
        </is>
      </c>
      <c r="D7" s="9" t="inlineStr">
        <is>
          <t>Entregados</t>
        </is>
      </c>
      <c r="E7" s="9" t="inlineStr">
        <is>
          <t>Pendientes</t>
        </is>
      </c>
      <c r="F7" s="9" t="inlineStr">
        <is>
          <t>Peso en la nota</t>
        </is>
      </c>
      <c r="G7" s="9" t="inlineStr">
        <is>
          <t>Peso ya corregido</t>
        </is>
      </c>
      <c r="H7" s="9" t="inlineStr">
        <is>
          <t>Nota media (0-10)</t>
        </is>
      </c>
      <c r="I7" s="9" t="inlineStr">
        <is>
          <t>Avance medio</t>
        </is>
      </c>
      <c r="J7" s="9" t="inlineStr">
        <is>
          <t>Próxima entrega</t>
        </is>
      </c>
      <c r="K7" s="9" t="inlineStr">
        <is>
          <t>Días</t>
        </is>
      </c>
      <c r="L7" s="9" t="inlineStr">
        <is>
          <t>Situación</t>
        </is>
      </c>
    </row>
    <row r="8">
      <c r="B8" s="23" t="inlineStr">
        <is>
          <t>Psicología Social</t>
        </is>
      </c>
      <c r="C8" s="11">
        <f>IF(B8="","",COUNTIF(Trabajos!$B$8:$B$47,B8))</f>
        <v/>
      </c>
      <c r="D8" s="11">
        <f>IF(B8="","",COUNTIFS(Trabajos!$B$8:$B$47,B8,Trabajos!$G$8:$G$47,"Entregado")+COUNTIFS(Trabajos!$B$8:$B$47,B8,Trabajos!$G$8:$G$47,"Corregido"))</f>
        <v/>
      </c>
      <c r="E8" s="11">
        <f>IF(B8="","",C8-D8)</f>
        <v/>
      </c>
      <c r="F8" s="12">
        <f>IF(B8="","",SUMIF(Trabajos!$B$8:$B$47,B8,Trabajos!$F$8:$F$47))</f>
        <v/>
      </c>
      <c r="G8" s="12">
        <f>IF(B8="","",SUMIFS(Trabajos!$F$8:$F$47,Trabajos!$B$8:$B$47,B8,Trabajos!$I$8:$I$47,"&lt;&gt;"))</f>
        <v/>
      </c>
      <c r="H8" s="31">
        <f>IF(B8="","",IF(G8=0,"-",ROUND(SUMIF(Trabajos!$B$8:$B$47,B8,Trabajos!$L$8:$L$47)/G8,2)))</f>
        <v/>
      </c>
      <c r="I8" s="12">
        <f>IF(B8="","",IFERROR(AVERAGEIF(Trabajos!$B$8:$B$47,B8,Trabajos!$H$8:$H$47),0))</f>
        <v/>
      </c>
      <c r="J8" s="14">
        <f>IF(B8="","",IF(SUMIFS(Trabajos!$E$8:$E$47,Trabajos!$B$8:$B$47,B8,Trabajos!$N$8:$N$47,1)=0,"-",SUMIFS(Trabajos!$E$8:$E$47,Trabajos!$B$8:$B$47,B8,Trabajos!$N$8:$N$47,1)))</f>
        <v/>
      </c>
      <c r="K8" s="11">
        <f>IF(ISNUMBER(J8),J8-Trabajos!$C$5,"")</f>
        <v/>
      </c>
      <c r="L8" s="16">
        <f>IF(B8="","",IF(H8="-","Sin notas aún",IF(H8&gt;=$D$5,"Aprobando","En riesgo")))</f>
        <v/>
      </c>
    </row>
    <row r="9">
      <c r="B9" s="23" t="inlineStr">
        <is>
          <t>Estadística Aplicada</t>
        </is>
      </c>
      <c r="C9" s="11">
        <f>IF(B9="","",COUNTIF(Trabajos!$B$8:$B$47,B9))</f>
        <v/>
      </c>
      <c r="D9" s="11">
        <f>IF(B9="","",COUNTIFS(Trabajos!$B$8:$B$47,B9,Trabajos!$G$8:$G$47,"Entregado")+COUNTIFS(Trabajos!$B$8:$B$47,B9,Trabajos!$G$8:$G$47,"Corregido"))</f>
        <v/>
      </c>
      <c r="E9" s="11">
        <f>IF(B9="","",C9-D9)</f>
        <v/>
      </c>
      <c r="F9" s="12">
        <f>IF(B9="","",SUMIF(Trabajos!$B$8:$B$47,B9,Trabajos!$F$8:$F$47))</f>
        <v/>
      </c>
      <c r="G9" s="12">
        <f>IF(B9="","",SUMIFS(Trabajos!$F$8:$F$47,Trabajos!$B$8:$B$47,B9,Trabajos!$I$8:$I$47,"&lt;&gt;"))</f>
        <v/>
      </c>
      <c r="H9" s="31">
        <f>IF(B9="","",IF(G9=0,"-",ROUND(SUMIF(Trabajos!$B$8:$B$47,B9,Trabajos!$L$8:$L$47)/G9,2)))</f>
        <v/>
      </c>
      <c r="I9" s="12">
        <f>IF(B9="","",IFERROR(AVERAGEIF(Trabajos!$B$8:$B$47,B9,Trabajos!$H$8:$H$47),0))</f>
        <v/>
      </c>
      <c r="J9" s="14">
        <f>IF(B9="","",IF(SUMIFS(Trabajos!$E$8:$E$47,Trabajos!$B$8:$B$47,B9,Trabajos!$N$8:$N$47,1)=0,"-",SUMIFS(Trabajos!$E$8:$E$47,Trabajos!$B$8:$B$47,B9,Trabajos!$N$8:$N$47,1)))</f>
        <v/>
      </c>
      <c r="K9" s="11">
        <f>IF(ISNUMBER(J9),J9-Trabajos!$C$5,"")</f>
        <v/>
      </c>
      <c r="L9" s="16">
        <f>IF(B9="","",IF(H9="-","Sin notas aún",IF(H9&gt;=$D$5,"Aprobando","En riesgo")))</f>
        <v/>
      </c>
    </row>
    <row r="10">
      <c r="B10" s="23" t="inlineStr">
        <is>
          <t>Historia Contemporánea</t>
        </is>
      </c>
      <c r="C10" s="11">
        <f>IF(B10="","",COUNTIF(Trabajos!$B$8:$B$47,B10))</f>
        <v/>
      </c>
      <c r="D10" s="11">
        <f>IF(B10="","",COUNTIFS(Trabajos!$B$8:$B$47,B10,Trabajos!$G$8:$G$47,"Entregado")+COUNTIFS(Trabajos!$B$8:$B$47,B10,Trabajos!$G$8:$G$47,"Corregido"))</f>
        <v/>
      </c>
      <c r="E10" s="11">
        <f>IF(B10="","",C10-D10)</f>
        <v/>
      </c>
      <c r="F10" s="12">
        <f>IF(B10="","",SUMIF(Trabajos!$B$8:$B$47,B10,Trabajos!$F$8:$F$47))</f>
        <v/>
      </c>
      <c r="G10" s="12">
        <f>IF(B10="","",SUMIFS(Trabajos!$F$8:$F$47,Trabajos!$B$8:$B$47,B10,Trabajos!$I$8:$I$47,"&lt;&gt;"))</f>
        <v/>
      </c>
      <c r="H10" s="31">
        <f>IF(B10="","",IF(G10=0,"-",ROUND(SUMIF(Trabajos!$B$8:$B$47,B10,Trabajos!$L$8:$L$47)/G10,2)))</f>
        <v/>
      </c>
      <c r="I10" s="12">
        <f>IF(B10="","",IFERROR(AVERAGEIF(Trabajos!$B$8:$B$47,B10,Trabajos!$H$8:$H$47),0))</f>
        <v/>
      </c>
      <c r="J10" s="14">
        <f>IF(B10="","",IF(SUMIFS(Trabajos!$E$8:$E$47,Trabajos!$B$8:$B$47,B10,Trabajos!$N$8:$N$47,1)=0,"-",SUMIFS(Trabajos!$E$8:$E$47,Trabajos!$B$8:$B$47,B10,Trabajos!$N$8:$N$47,1)))</f>
        <v/>
      </c>
      <c r="K10" s="11">
        <f>IF(ISNUMBER(J10),J10-Trabajos!$C$5,"")</f>
        <v/>
      </c>
      <c r="L10" s="16">
        <f>IF(B10="","",IF(H10="-","Sin notas aún",IF(H10&gt;=$D$5,"Aprobando","En riesgo")))</f>
        <v/>
      </c>
    </row>
    <row r="11">
      <c r="B11" s="23" t="inlineStr">
        <is>
          <t>Derecho Civil</t>
        </is>
      </c>
      <c r="C11" s="11">
        <f>IF(B11="","",COUNTIF(Trabajos!$B$8:$B$47,B11))</f>
        <v/>
      </c>
      <c r="D11" s="11">
        <f>IF(B11="","",COUNTIFS(Trabajos!$B$8:$B$47,B11,Trabajos!$G$8:$G$47,"Entregado")+COUNTIFS(Trabajos!$B$8:$B$47,B11,Trabajos!$G$8:$G$47,"Corregido"))</f>
        <v/>
      </c>
      <c r="E11" s="11">
        <f>IF(B11="","",C11-D11)</f>
        <v/>
      </c>
      <c r="F11" s="12">
        <f>IF(B11="","",SUMIF(Trabajos!$B$8:$B$47,B11,Trabajos!$F$8:$F$47))</f>
        <v/>
      </c>
      <c r="G11" s="12">
        <f>IF(B11="","",SUMIFS(Trabajos!$F$8:$F$47,Trabajos!$B$8:$B$47,B11,Trabajos!$I$8:$I$47,"&lt;&gt;"))</f>
        <v/>
      </c>
      <c r="H11" s="31">
        <f>IF(B11="","",IF(G11=0,"-",ROUND(SUMIF(Trabajos!$B$8:$B$47,B11,Trabajos!$L$8:$L$47)/G11,2)))</f>
        <v/>
      </c>
      <c r="I11" s="12">
        <f>IF(B11="","",IFERROR(AVERAGEIF(Trabajos!$B$8:$B$47,B11,Trabajos!$H$8:$H$47),0))</f>
        <v/>
      </c>
      <c r="J11" s="14">
        <f>IF(B11="","",IF(SUMIFS(Trabajos!$E$8:$E$47,Trabajos!$B$8:$B$47,B11,Trabajos!$N$8:$N$47,1)=0,"-",SUMIFS(Trabajos!$E$8:$E$47,Trabajos!$B$8:$B$47,B11,Trabajos!$N$8:$N$47,1)))</f>
        <v/>
      </c>
      <c r="K11" s="11">
        <f>IF(ISNUMBER(J11),J11-Trabajos!$C$5,"")</f>
        <v/>
      </c>
      <c r="L11" s="16">
        <f>IF(B11="","",IF(H11="-","Sin notas aún",IF(H11&gt;=$D$5,"Aprobando","En riesgo")))</f>
        <v/>
      </c>
    </row>
    <row r="12">
      <c r="B12" s="23" t="inlineStr">
        <is>
          <t>Inglés Académico</t>
        </is>
      </c>
      <c r="C12" s="11">
        <f>IF(B12="","",COUNTIF(Trabajos!$B$8:$B$47,B12))</f>
        <v/>
      </c>
      <c r="D12" s="11">
        <f>IF(B12="","",COUNTIFS(Trabajos!$B$8:$B$47,B12,Trabajos!$G$8:$G$47,"Entregado")+COUNTIFS(Trabajos!$B$8:$B$47,B12,Trabajos!$G$8:$G$47,"Corregido"))</f>
        <v/>
      </c>
      <c r="E12" s="11">
        <f>IF(B12="","",C12-D12)</f>
        <v/>
      </c>
      <c r="F12" s="12">
        <f>IF(B12="","",SUMIF(Trabajos!$B$8:$B$47,B12,Trabajos!$F$8:$F$47))</f>
        <v/>
      </c>
      <c r="G12" s="12">
        <f>IF(B12="","",SUMIFS(Trabajos!$F$8:$F$47,Trabajos!$B$8:$B$47,B12,Trabajos!$I$8:$I$47,"&lt;&gt;"))</f>
        <v/>
      </c>
      <c r="H12" s="31">
        <f>IF(B12="","",IF(G12=0,"-",ROUND(SUMIF(Trabajos!$B$8:$B$47,B12,Trabajos!$L$8:$L$47)/G12,2)))</f>
        <v/>
      </c>
      <c r="I12" s="12">
        <f>IF(B12="","",IFERROR(AVERAGEIF(Trabajos!$B$8:$B$47,B12,Trabajos!$H$8:$H$47),0))</f>
        <v/>
      </c>
      <c r="J12" s="14">
        <f>IF(B12="","",IF(SUMIFS(Trabajos!$E$8:$E$47,Trabajos!$B$8:$B$47,B12,Trabajos!$N$8:$N$47,1)=0,"-",SUMIFS(Trabajos!$E$8:$E$47,Trabajos!$B$8:$B$47,B12,Trabajos!$N$8:$N$47,1)))</f>
        <v/>
      </c>
      <c r="K12" s="11">
        <f>IF(ISNUMBER(J12),J12-Trabajos!$C$5,"")</f>
        <v/>
      </c>
      <c r="L12" s="16">
        <f>IF(B12="","",IF(H12="-","Sin notas aún",IF(H12&gt;=$D$5,"Aprobando","En riesgo")))</f>
        <v/>
      </c>
    </row>
    <row r="13">
      <c r="B13" s="23" t="inlineStr">
        <is>
          <t>Metodología de la Investigación</t>
        </is>
      </c>
      <c r="C13" s="11">
        <f>IF(B13="","",COUNTIF(Trabajos!$B$8:$B$47,B13))</f>
        <v/>
      </c>
      <c r="D13" s="11">
        <f>IF(B13="","",COUNTIFS(Trabajos!$B$8:$B$47,B13,Trabajos!$G$8:$G$47,"Entregado")+COUNTIFS(Trabajos!$B$8:$B$47,B13,Trabajos!$G$8:$G$47,"Corregido"))</f>
        <v/>
      </c>
      <c r="E13" s="11">
        <f>IF(B13="","",C13-D13)</f>
        <v/>
      </c>
      <c r="F13" s="12">
        <f>IF(B13="","",SUMIF(Trabajos!$B$8:$B$47,B13,Trabajos!$F$8:$F$47))</f>
        <v/>
      </c>
      <c r="G13" s="12">
        <f>IF(B13="","",SUMIFS(Trabajos!$F$8:$F$47,Trabajos!$B$8:$B$47,B13,Trabajos!$I$8:$I$47,"&lt;&gt;"))</f>
        <v/>
      </c>
      <c r="H13" s="31">
        <f>IF(B13="","",IF(G13=0,"-",ROUND(SUMIF(Trabajos!$B$8:$B$47,B13,Trabajos!$L$8:$L$47)/G13,2)))</f>
        <v/>
      </c>
      <c r="I13" s="12">
        <f>IF(B13="","",IFERROR(AVERAGEIF(Trabajos!$B$8:$B$47,B13,Trabajos!$H$8:$H$47),0))</f>
        <v/>
      </c>
      <c r="J13" s="14">
        <f>IF(B13="","",IF(SUMIFS(Trabajos!$E$8:$E$47,Trabajos!$B$8:$B$47,B13,Trabajos!$N$8:$N$47,1)=0,"-",SUMIFS(Trabajos!$E$8:$E$47,Trabajos!$B$8:$B$47,B13,Trabajos!$N$8:$N$47,1)))</f>
        <v/>
      </c>
      <c r="K13" s="11">
        <f>IF(ISNUMBER(J13),J13-Trabajos!$C$5,"")</f>
        <v/>
      </c>
      <c r="L13" s="16">
        <f>IF(B13="","",IF(H13="-","Sin notas aún",IF(H13&gt;=$D$5,"Aprobando","En riesgo")))</f>
        <v/>
      </c>
    </row>
    <row r="14">
      <c r="B14" s="23" t="n"/>
      <c r="C14" s="11">
        <f>IF(B14="","",COUNTIF(Trabajos!$B$8:$B$47,B14))</f>
        <v/>
      </c>
      <c r="D14" s="11">
        <f>IF(B14="","",COUNTIFS(Trabajos!$B$8:$B$47,B14,Trabajos!$G$8:$G$47,"Entregado")+COUNTIFS(Trabajos!$B$8:$B$47,B14,Trabajos!$G$8:$G$47,"Corregido"))</f>
        <v/>
      </c>
      <c r="E14" s="11">
        <f>IF(B14="","",C14-D14)</f>
        <v/>
      </c>
      <c r="F14" s="12">
        <f>IF(B14="","",SUMIF(Trabajos!$B$8:$B$47,B14,Trabajos!$F$8:$F$47))</f>
        <v/>
      </c>
      <c r="G14" s="12">
        <f>IF(B14="","",SUMIFS(Trabajos!$F$8:$F$47,Trabajos!$B$8:$B$47,B14,Trabajos!$I$8:$I$47,"&lt;&gt;"))</f>
        <v/>
      </c>
      <c r="H14" s="31">
        <f>IF(B14="","",IF(G14=0,"-",ROUND(SUMIF(Trabajos!$B$8:$B$47,B14,Trabajos!$L$8:$L$47)/G14,2)))</f>
        <v/>
      </c>
      <c r="I14" s="12">
        <f>IF(B14="","",IFERROR(AVERAGEIF(Trabajos!$B$8:$B$47,B14,Trabajos!$H$8:$H$47),0))</f>
        <v/>
      </c>
      <c r="J14" s="14">
        <f>IF(B14="","",IF(SUMIFS(Trabajos!$E$8:$E$47,Trabajos!$B$8:$B$47,B14,Trabajos!$N$8:$N$47,1)=0,"-",SUMIFS(Trabajos!$E$8:$E$47,Trabajos!$B$8:$B$47,B14,Trabajos!$N$8:$N$47,1)))</f>
        <v/>
      </c>
      <c r="K14" s="11">
        <f>IF(ISNUMBER(J14),J14-Trabajos!$C$5,"")</f>
        <v/>
      </c>
      <c r="L14" s="16">
        <f>IF(B14="","",IF(H14="-","Sin notas aún",IF(H14&gt;=$D$5,"Aprobando","En riesgo")))</f>
        <v/>
      </c>
    </row>
    <row r="15">
      <c r="B15" s="23" t="n"/>
      <c r="C15" s="11">
        <f>IF(B15="","",COUNTIF(Trabajos!$B$8:$B$47,B15))</f>
        <v/>
      </c>
      <c r="D15" s="11">
        <f>IF(B15="","",COUNTIFS(Trabajos!$B$8:$B$47,B15,Trabajos!$G$8:$G$47,"Entregado")+COUNTIFS(Trabajos!$B$8:$B$47,B15,Trabajos!$G$8:$G$47,"Corregido"))</f>
        <v/>
      </c>
      <c r="E15" s="11">
        <f>IF(B15="","",C15-D15)</f>
        <v/>
      </c>
      <c r="F15" s="12">
        <f>IF(B15="","",SUMIF(Trabajos!$B$8:$B$47,B15,Trabajos!$F$8:$F$47))</f>
        <v/>
      </c>
      <c r="G15" s="12">
        <f>IF(B15="","",SUMIFS(Trabajos!$F$8:$F$47,Trabajos!$B$8:$B$47,B15,Trabajos!$I$8:$I$47,"&lt;&gt;"))</f>
        <v/>
      </c>
      <c r="H15" s="31">
        <f>IF(B15="","",IF(G15=0,"-",ROUND(SUMIF(Trabajos!$B$8:$B$47,B15,Trabajos!$L$8:$L$47)/G15,2)))</f>
        <v/>
      </c>
      <c r="I15" s="12">
        <f>IF(B15="","",IFERROR(AVERAGEIF(Trabajos!$B$8:$B$47,B15,Trabajos!$H$8:$H$47),0))</f>
        <v/>
      </c>
      <c r="J15" s="14">
        <f>IF(B15="","",IF(SUMIFS(Trabajos!$E$8:$E$47,Trabajos!$B$8:$B$47,B15,Trabajos!$N$8:$N$47,1)=0,"-",SUMIFS(Trabajos!$E$8:$E$47,Trabajos!$B$8:$B$47,B15,Trabajos!$N$8:$N$47,1)))</f>
        <v/>
      </c>
      <c r="K15" s="11">
        <f>IF(ISNUMBER(J15),J15-Trabajos!$C$5,"")</f>
        <v/>
      </c>
      <c r="L15" s="16">
        <f>IF(B15="","",IF(H15="-","Sin notas aún",IF(H15&gt;=$D$5,"Aprobando","En riesgo")))</f>
        <v/>
      </c>
    </row>
    <row r="16">
      <c r="B16" s="23" t="n"/>
      <c r="C16" s="11">
        <f>IF(B16="","",COUNTIF(Trabajos!$B$8:$B$47,B16))</f>
        <v/>
      </c>
      <c r="D16" s="11">
        <f>IF(B16="","",COUNTIFS(Trabajos!$B$8:$B$47,B16,Trabajos!$G$8:$G$47,"Entregado")+COUNTIFS(Trabajos!$B$8:$B$47,B16,Trabajos!$G$8:$G$47,"Corregido"))</f>
        <v/>
      </c>
      <c r="E16" s="11">
        <f>IF(B16="","",C16-D16)</f>
        <v/>
      </c>
      <c r="F16" s="12">
        <f>IF(B16="","",SUMIF(Trabajos!$B$8:$B$47,B16,Trabajos!$F$8:$F$47))</f>
        <v/>
      </c>
      <c r="G16" s="12">
        <f>IF(B16="","",SUMIFS(Trabajos!$F$8:$F$47,Trabajos!$B$8:$B$47,B16,Trabajos!$I$8:$I$47,"&lt;&gt;"))</f>
        <v/>
      </c>
      <c r="H16" s="31">
        <f>IF(B16="","",IF(G16=0,"-",ROUND(SUMIF(Trabajos!$B$8:$B$47,B16,Trabajos!$L$8:$L$47)/G16,2)))</f>
        <v/>
      </c>
      <c r="I16" s="12">
        <f>IF(B16="","",IFERROR(AVERAGEIF(Trabajos!$B$8:$B$47,B16,Trabajos!$H$8:$H$47),0))</f>
        <v/>
      </c>
      <c r="J16" s="14">
        <f>IF(B16="","",IF(SUMIFS(Trabajos!$E$8:$E$47,Trabajos!$B$8:$B$47,B16,Trabajos!$N$8:$N$47,1)=0,"-",SUMIFS(Trabajos!$E$8:$E$47,Trabajos!$B$8:$B$47,B16,Trabajos!$N$8:$N$47,1)))</f>
        <v/>
      </c>
      <c r="K16" s="11">
        <f>IF(ISNUMBER(J16),J16-Trabajos!$C$5,"")</f>
        <v/>
      </c>
      <c r="L16" s="16">
        <f>IF(B16="","",IF(H16="-","Sin notas aún",IF(H16&gt;=$D$5,"Aprobando","En riesgo")))</f>
        <v/>
      </c>
    </row>
    <row r="17">
      <c r="B17" s="23" t="n"/>
      <c r="C17" s="11">
        <f>IF(B17="","",COUNTIF(Trabajos!$B$8:$B$47,B17))</f>
        <v/>
      </c>
      <c r="D17" s="11">
        <f>IF(B17="","",COUNTIFS(Trabajos!$B$8:$B$47,B17,Trabajos!$G$8:$G$47,"Entregado")+COUNTIFS(Trabajos!$B$8:$B$47,B17,Trabajos!$G$8:$G$47,"Corregido"))</f>
        <v/>
      </c>
      <c r="E17" s="11">
        <f>IF(B17="","",C17-D17)</f>
        <v/>
      </c>
      <c r="F17" s="12">
        <f>IF(B17="","",SUMIF(Trabajos!$B$8:$B$47,B17,Trabajos!$F$8:$F$47))</f>
        <v/>
      </c>
      <c r="G17" s="12">
        <f>IF(B17="","",SUMIFS(Trabajos!$F$8:$F$47,Trabajos!$B$8:$B$47,B17,Trabajos!$I$8:$I$47,"&lt;&gt;"))</f>
        <v/>
      </c>
      <c r="H17" s="31">
        <f>IF(B17="","",IF(G17=0,"-",ROUND(SUMIF(Trabajos!$B$8:$B$47,B17,Trabajos!$L$8:$L$47)/G17,2)))</f>
        <v/>
      </c>
      <c r="I17" s="12">
        <f>IF(B17="","",IFERROR(AVERAGEIF(Trabajos!$B$8:$B$47,B17,Trabajos!$H$8:$H$47),0))</f>
        <v/>
      </c>
      <c r="J17" s="14">
        <f>IF(B17="","",IF(SUMIFS(Trabajos!$E$8:$E$47,Trabajos!$B$8:$B$47,B17,Trabajos!$N$8:$N$47,1)=0,"-",SUMIFS(Trabajos!$E$8:$E$47,Trabajos!$B$8:$B$47,B17,Trabajos!$N$8:$N$47,1)))</f>
        <v/>
      </c>
      <c r="K17" s="11">
        <f>IF(ISNUMBER(J17),J17-Trabajos!$C$5,"")</f>
        <v/>
      </c>
      <c r="L17" s="16">
        <f>IF(B17="","",IF(H17="-","Sin notas aún",IF(H17&gt;=$D$5,"Aprobando","En riesgo")))</f>
        <v/>
      </c>
    </row>
    <row r="18">
      <c r="B18" s="23" t="n"/>
      <c r="C18" s="11">
        <f>IF(B18="","",COUNTIF(Trabajos!$B$8:$B$47,B18))</f>
        <v/>
      </c>
      <c r="D18" s="11">
        <f>IF(B18="","",COUNTIFS(Trabajos!$B$8:$B$47,B18,Trabajos!$G$8:$G$47,"Entregado")+COUNTIFS(Trabajos!$B$8:$B$47,B18,Trabajos!$G$8:$G$47,"Corregido"))</f>
        <v/>
      </c>
      <c r="E18" s="11">
        <f>IF(B18="","",C18-D18)</f>
        <v/>
      </c>
      <c r="F18" s="12">
        <f>IF(B18="","",SUMIF(Trabajos!$B$8:$B$47,B18,Trabajos!$F$8:$F$47))</f>
        <v/>
      </c>
      <c r="G18" s="12">
        <f>IF(B18="","",SUMIFS(Trabajos!$F$8:$F$47,Trabajos!$B$8:$B$47,B18,Trabajos!$I$8:$I$47,"&lt;&gt;"))</f>
        <v/>
      </c>
      <c r="H18" s="31">
        <f>IF(B18="","",IF(G18=0,"-",ROUND(SUMIF(Trabajos!$B$8:$B$47,B18,Trabajos!$L$8:$L$47)/G18,2)))</f>
        <v/>
      </c>
      <c r="I18" s="12">
        <f>IF(B18="","",IFERROR(AVERAGEIF(Trabajos!$B$8:$B$47,B18,Trabajos!$H$8:$H$47),0))</f>
        <v/>
      </c>
      <c r="J18" s="14">
        <f>IF(B18="","",IF(SUMIFS(Trabajos!$E$8:$E$47,Trabajos!$B$8:$B$47,B18,Trabajos!$N$8:$N$47,1)=0,"-",SUMIFS(Trabajos!$E$8:$E$47,Trabajos!$B$8:$B$47,B18,Trabajos!$N$8:$N$47,1)))</f>
        <v/>
      </c>
      <c r="K18" s="11">
        <f>IF(ISNUMBER(J18),J18-Trabajos!$C$5,"")</f>
        <v/>
      </c>
      <c r="L18" s="16">
        <f>IF(B18="","",IF(H18="-","Sin notas aún",IF(H18&gt;=$D$5,"Aprobando","En riesgo")))</f>
        <v/>
      </c>
    </row>
    <row r="19">
      <c r="B19" s="23" t="n"/>
      <c r="C19" s="11">
        <f>IF(B19="","",COUNTIF(Trabajos!$B$8:$B$47,B19))</f>
        <v/>
      </c>
      <c r="D19" s="11">
        <f>IF(B19="","",COUNTIFS(Trabajos!$B$8:$B$47,B19,Trabajos!$G$8:$G$47,"Entregado")+COUNTIFS(Trabajos!$B$8:$B$47,B19,Trabajos!$G$8:$G$47,"Corregido"))</f>
        <v/>
      </c>
      <c r="E19" s="11">
        <f>IF(B19="","",C19-D19)</f>
        <v/>
      </c>
      <c r="F19" s="12">
        <f>IF(B19="","",SUMIF(Trabajos!$B$8:$B$47,B19,Trabajos!$F$8:$F$47))</f>
        <v/>
      </c>
      <c r="G19" s="12">
        <f>IF(B19="","",SUMIFS(Trabajos!$F$8:$F$47,Trabajos!$B$8:$B$47,B19,Trabajos!$I$8:$I$47,"&lt;&gt;"))</f>
        <v/>
      </c>
      <c r="H19" s="31">
        <f>IF(B19="","",IF(G19=0,"-",ROUND(SUMIF(Trabajos!$B$8:$B$47,B19,Trabajos!$L$8:$L$47)/G19,2)))</f>
        <v/>
      </c>
      <c r="I19" s="12">
        <f>IF(B19="","",IFERROR(AVERAGEIF(Trabajos!$B$8:$B$47,B19,Trabajos!$H$8:$H$47),0))</f>
        <v/>
      </c>
      <c r="J19" s="14">
        <f>IF(B19="","",IF(SUMIFS(Trabajos!$E$8:$E$47,Trabajos!$B$8:$B$47,B19,Trabajos!$N$8:$N$47,1)=0,"-",SUMIFS(Trabajos!$E$8:$E$47,Trabajos!$B$8:$B$47,B19,Trabajos!$N$8:$N$47,1)))</f>
        <v/>
      </c>
      <c r="K19" s="11">
        <f>IF(ISNUMBER(J19),J19-Trabajos!$C$5,"")</f>
        <v/>
      </c>
      <c r="L19" s="16">
        <f>IF(B19="","",IF(H19="-","Sin notas aún",IF(H19&gt;=$D$5,"Aprobando","En riesgo")))</f>
        <v/>
      </c>
    </row>
    <row r="20">
      <c r="B20" s="32" t="inlineStr">
        <is>
          <t>Total / media</t>
        </is>
      </c>
      <c r="C20" s="33">
        <f>SUM(C8:C19)</f>
        <v/>
      </c>
      <c r="D20" s="33">
        <f>SUM(D8:D19)</f>
        <v/>
      </c>
      <c r="E20" s="33">
        <f>SUM(E8:E19)</f>
        <v/>
      </c>
      <c r="F20" s="32" t="inlineStr"/>
      <c r="G20" s="32" t="inlineStr"/>
      <c r="H20" s="34">
        <f>IFERROR(AVERAGE(H8:H19),"-")</f>
        <v/>
      </c>
      <c r="I20" s="35">
        <f>IFERROR(AVERAGE(I8:I19),0)</f>
        <v/>
      </c>
      <c r="J20" s="32" t="inlineStr"/>
      <c r="K20" s="32" t="inlineStr"/>
      <c r="L20" s="32" t="inlineStr"/>
    </row>
    <row r="21">
      <c r="B21" s="36" t="inlineStr">
        <is>
          <t>El peso es el de los trabajos dentro de la nota final de la asignatura; el resto suele corresponder a exámenes. La nota media se pondera solo con lo ya corregido.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2:L2"/>
    <mergeCell ref="B3:L3"/>
  </mergeCells>
  <conditionalFormatting sqref="L8:L19">
    <cfRule type="cellIs" priority="1" operator="equal" dxfId="0">
      <formula>"En riesgo"</formula>
    </cfRule>
    <cfRule type="cellIs" priority="2" operator="equal" dxfId="3">
      <formula>"Aprobando"</formula>
    </cfRule>
  </conditionalFormatting>
  <conditionalFormatting sqref="K8:K19">
    <cfRule type="expression" priority="3" dxfId="2">
      <formula>AND(ISNUMBER($K8),$K8&lt;=Trabajos!$E$5)</formula>
    </cfRule>
  </conditionalFormatting>
  <conditionalFormatting sqref="I8:I19">
    <cfRule type="dataBar" priority="4">
      <dataBar>
        <cfvo type="num" val="0"/>
        <cfvo type="max"/>
        <color rgb="0010B981"/>
      </dataBar>
    </cfRule>
  </conditionalFormatting>
  <dataValidations count="1">
    <dataValidation sqref="D5" showDropDown="0" showInputMessage="0" showErrorMessage="0" allowBlank="1" type="list">
      <formula1>"4,5,5.5,6"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Control de entregas y trabajos · Cómo usarlo</t>
        </is>
      </c>
    </row>
    <row r="3">
      <c r="B3" s="3" t="inlineStr">
        <is>
          <t>Plantilla gratuita de Plantillas de Cálculo · plantillasdecalculo.com</t>
        </is>
      </c>
    </row>
    <row r="5">
      <c r="B5" s="8" t="inlineStr">
        <is>
          <t>CÓMO USARLA</t>
        </is>
      </c>
    </row>
    <row r="6" ht="30" customHeight="1">
      <c r="B6" s="37" t="inlineStr">
        <is>
          <t>1.  En la hoja «Asignaturas» escribe tus asignaturas (hasta 12) y ajusta la nota mínima para aprobar (celda D5).</t>
        </is>
      </c>
    </row>
    <row r="7" ht="30" customHeight="1">
      <c r="B7" s="37" t="inlineStr">
        <is>
          <t>2.  En «Trabajos» añade una fila por cada entrega: elige la asignatura, escribe el nombre del trabajo y elige el tipo en el desplegable.</t>
        </is>
      </c>
    </row>
    <row r="8" ht="30" customHeight="1">
      <c r="B8" s="37" t="inlineStr">
        <is>
          <t>3.  Indica la fecha de entrega y el peso que tiene ese trabajo en la nota final de la asignatura (columna «Peso en la nota»).</t>
        </is>
      </c>
    </row>
    <row r="9" ht="30" customHeight="1">
      <c r="B9" s="37" t="inlineStr">
        <is>
          <t>4.  Actualiza el estado (Pendiente, En curso, Entregado o Corregido) y el avance en % según vayas trabajando: alimentan el Panel y el gráfico.</t>
        </is>
      </c>
    </row>
    <row r="10" ht="30" customHeight="1">
      <c r="B10" s="37" t="inlineStr">
        <is>
          <t>5.  Ajusta los días de aviso de la fila 5: «Urgente» (3 días) y «Próximo» (7 días). El semáforo se calcula solo con la fecha de hoy.</t>
        </is>
      </c>
    </row>
    <row r="11" ht="30" customHeight="1">
      <c r="B11" s="37" t="inlineStr">
        <is>
          <t>6.  Cuando te devuelvan la corrección, escribe la nota (0-10): se calculan los puntos ponderados y la nota media de la asignatura.</t>
        </is>
      </c>
    </row>
    <row r="12" ht="30" customHeight="1">
      <c r="B12" s="37" t="inlineStr">
        <is>
          <t>7.  Consulta «Asignaturas» para ver entregados, pendientes, nota media, avance y la próxima fecha de cada asignatura.</t>
        </is>
      </c>
    </row>
    <row r="13" ht="30" customHeight="1">
      <c r="B13" s="37" t="inlineStr">
        <is>
          <t>8.  Abre el «Panel»: resume pendientes, urgentes, vencidos, nota media y las 8 próximas entregas. No hace falta tocar nada en él.</t>
        </is>
      </c>
    </row>
    <row r="15">
      <c r="B15" s="8" t="inlineStr">
        <is>
          <t>CONSEJOS</t>
        </is>
      </c>
    </row>
    <row r="16" ht="30" customHeight="1">
      <c r="B16" s="37" t="inlineStr">
        <is>
          <t>•  Todo depende de la función TODAY: al abrir el archivo cada día se recalculan los días que faltan y el semáforo.</t>
        </is>
      </c>
    </row>
    <row r="17" ht="30" customHeight="1">
      <c r="B17" s="37" t="inlineStr">
        <is>
          <t>•  Los datos de ejemplo (asignaturas, fechas y notas) son ficticios: bórralos y escribe los tuyos. Las filas hasta la 47 ya tienen fórmulas.</t>
        </is>
      </c>
    </row>
    <row r="18" ht="30" customHeight="1">
      <c r="B18" s="37" t="inlineStr">
        <is>
          <t>•  Los trabajos entregados o corregidos dejan de aparecer en «Próximas entregas» y pasan al contador de entregados.</t>
        </is>
      </c>
    </row>
    <row r="19" ht="30" customHeight="1">
      <c r="B19" s="37" t="inlineStr">
        <is>
          <t>•  Las hojas están protegidas sin contraseña para no romper fórmulas: Revisar &gt; Desproteger hoja si necesitas cambiar algo.</t>
        </is>
      </c>
    </row>
    <row r="20" ht="30" customHeight="1">
      <c r="B20" s="37" t="inlineStr">
        <is>
          <t>•  Las columnas ocultas «Clave» y «Orden» de «Trabajos» son auxiliares para ordenar las próximas entregas: no las borres.</t>
        </is>
      </c>
    </row>
    <row r="22">
      <c r="B22" s="36" t="inlineStr">
        <is>
          <t>Las celdas con fondo crema y texto azul son para rellenar; las verdes se calculan solas.</t>
        </is>
      </c>
    </row>
    <row r="24" ht="44" customHeight="1">
      <c r="B24" s="38" t="inlineStr">
        <is>
          <t>Aviso: la nota media es un cálculo orientativo con los pesos que tú introduces. Consulta siempre la guía docente de tu universidad para conocer los criterios oficiales de evaluación.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Tipo</t>
        </is>
      </c>
      <c r="B1" t="inlineStr">
        <is>
          <t>Estado</t>
        </is>
      </c>
    </row>
    <row r="2">
      <c r="A2" t="inlineStr">
        <is>
          <t>Individual</t>
        </is>
      </c>
      <c r="B2" t="inlineStr">
        <is>
          <t>Pendiente</t>
        </is>
      </c>
    </row>
    <row r="3">
      <c r="A3" t="inlineStr">
        <is>
          <t>Grupo</t>
        </is>
      </c>
      <c r="B3" t="inlineStr">
        <is>
          <t>En curso</t>
        </is>
      </c>
    </row>
    <row r="4">
      <c r="A4" t="inlineStr">
        <is>
          <t>Práctica</t>
        </is>
      </c>
      <c r="B4" t="inlineStr">
        <is>
          <t>Entregado</t>
        </is>
      </c>
    </row>
    <row r="5">
      <c r="A5" t="inlineStr">
        <is>
          <t>Ensayo</t>
        </is>
      </c>
      <c r="B5" t="inlineStr">
        <is>
          <t>Corregido</t>
        </is>
      </c>
    </row>
    <row r="6">
      <c r="A6" t="inlineStr">
        <is>
          <t>Informe</t>
        </is>
      </c>
    </row>
    <row r="7">
      <c r="A7" t="inlineStr">
        <is>
          <t>Exposición</t>
        </is>
      </c>
    </row>
    <row r="8">
      <c r="A8" t="inlineStr">
        <is>
          <t>Proyecto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2026-10-02T13:04:01Z</dcterms:created>
  <dcterms:modified xmlns:dcterms="http://purl.org/dc/terms/" xmlns:xsi="http://www.w3.org/2001/XMLSchema-instance" xsi:type="dcterms:W3CDTF">2026-10-02T13:04:01Z</dcterms:modified>
</cp:coreProperties>
</file>