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Vecinos" sheetId="2" state="visible" r:id="rId2"/>
    <sheet xmlns:r="http://schemas.openxmlformats.org/officeDocument/2006/relationships" name="Cobros" sheetId="3" state="visible" r:id="rId3"/>
    <sheet xmlns:r="http://schemas.openxmlformats.org/officeDocument/2006/relationships" name="Gastos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 &quot;€&quot;"/>
    <numFmt numFmtId="165" formatCode="0.0"/>
    <numFmt numFmtId="166" formatCode="yyyy-mm-dd"/>
    <numFmt numFmtId="167" formatCode="dd/mm/yyyy"/>
    <numFmt numFmtId="168" formatCode="0.0%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B4A2F"/>
      <sz val="11"/>
    </font>
    <font>
      <name val="Arial"/>
      <color rgb="006B7280"/>
      <sz val="8"/>
    </font>
    <font>
      <name val="Arial"/>
      <b val="1"/>
      <color rgb="0012744A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0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" fontId="6" fillId="4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168" fontId="6" fillId="4" borderId="1" applyAlignment="1" applyProtection="1" pivotButton="0" quotePrefix="0" xfId="0">
      <alignment horizontal="center" vertical="center"/>
      <protection locked="0" hidden="0"/>
    </xf>
    <xf numFmtId="0" fontId="6" fillId="4" borderId="1" applyAlignment="1" applyProtection="1" pivotButton="0" quotePrefix="0" xfId="0">
      <alignment horizontal="left" vertical="center"/>
      <protection locked="0" hidden="0"/>
    </xf>
    <xf numFmtId="0" fontId="0" fillId="0" borderId="1" applyProtection="1" pivotButton="0" quotePrefix="0" xfId="0">
      <protection locked="0" hidden="0"/>
    </xf>
    <xf numFmtId="164" fontId="6" fillId="4" borderId="1" applyAlignment="1" applyProtection="1" pivotButton="0" quotePrefix="0" xfId="0">
      <alignment horizontal="center" vertical="center"/>
      <protection locked="0" hidden="0"/>
    </xf>
    <xf numFmtId="165" fontId="6" fillId="4" borderId="1" applyAlignment="1" applyProtection="1" pivotButton="0" quotePrefix="0" xfId="0">
      <alignment horizontal="center" vertical="center"/>
      <protection locked="0" hidden="0"/>
    </xf>
    <xf numFmtId="164" fontId="4" fillId="0" borderId="1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 wrapText="1"/>
    </xf>
    <xf numFmtId="164" fontId="12" fillId="6" borderId="0" applyAlignment="1" pivotButton="0" quotePrefix="0" xfId="0">
      <alignment horizontal="center" vertical="center"/>
    </xf>
    <xf numFmtId="1" fontId="12" fillId="6" borderId="0" applyAlignment="1" pivotButton="0" quotePrefix="0" xfId="0">
      <alignment horizontal="center" vertical="center"/>
    </xf>
    <xf numFmtId="168" fontId="12" fillId="6" borderId="0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6" fillId="4" borderId="1" applyAlignment="1" applyProtection="1" pivotButton="0" quotePrefix="0" xfId="0">
      <alignment vertical="center"/>
      <protection locked="0" hidden="0"/>
    </xf>
    <xf numFmtId="164" fontId="6" fillId="4" borderId="1" applyAlignment="1" applyProtection="1" pivotButton="0" quotePrefix="0" xfId="0">
      <alignment vertical="center"/>
      <protection locked="0" hidden="0"/>
    </xf>
    <xf numFmtId="164" fontId="7" fillId="0" borderId="1" applyAlignment="1" pivotButton="0" quotePrefix="0" xfId="0">
      <alignment vertical="center"/>
    </xf>
    <xf numFmtId="168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0" fontId="3" fillId="5" borderId="1" applyAlignment="1" pivotButton="0" quotePrefix="0" xfId="0">
      <alignment vertical="center"/>
    </xf>
    <xf numFmtId="164" fontId="8" fillId="5" borderId="1" applyAlignment="1" pivotButton="0" quotePrefix="0" xfId="0">
      <alignment vertical="center"/>
    </xf>
    <xf numFmtId="168" fontId="8" fillId="5" borderId="1" applyAlignment="1" pivotButton="0" quotePrefix="0" xfId="0">
      <alignment horizontal="center" vertical="center"/>
    </xf>
    <xf numFmtId="0" fontId="0" fillId="5" borderId="1" pivotButton="0" quotePrefix="0" xfId="0"/>
    <xf numFmtId="164" fontId="4" fillId="0" borderId="1" applyAlignment="1" pivotButton="0" quotePrefix="0" xfId="0">
      <alignment vertical="center"/>
    </xf>
    <xf numFmtId="0" fontId="3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165" fontId="7" fillId="0" borderId="1" applyAlignment="1" pivotButton="0" quotePrefix="0" xfId="0">
      <alignment horizontal="center" vertical="center"/>
    </xf>
    <xf numFmtId="1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6" fillId="4" borderId="1" applyAlignment="1" applyProtection="1" pivotButton="0" quotePrefix="0" xfId="0">
      <alignment horizontal="center" vertical="center"/>
      <protection locked="0" hidden="0"/>
    </xf>
    <xf numFmtId="10" fontId="6" fillId="4" borderId="1" applyAlignment="1" applyProtection="1" pivotButton="0" quotePrefix="0" xfId="0">
      <alignment horizontal="center" vertical="center"/>
      <protection locked="0" hidden="0"/>
    </xf>
    <xf numFmtId="10" fontId="8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4" fontId="6" fillId="4" borderId="1" applyAlignment="1" applyProtection="1" pivotButton="0" quotePrefix="0" xfId="0">
      <alignment vertical="center"/>
      <protection locked="0" hidden="0"/>
    </xf>
    <xf numFmtId="2" fontId="9" fillId="0" borderId="1" applyAlignment="1" pivotButton="0" quotePrefix="0" xfId="0">
      <alignment vertical="center"/>
    </xf>
    <xf numFmtId="4" fontId="8" fillId="5" borderId="1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67" fontId="6" fillId="4" borderId="1" applyAlignment="1" applyProtection="1" pivotButton="0" quotePrefix="0" xfId="0">
      <alignment horizontal="center" vertical="center"/>
      <protection locked="0" hidden="0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ill>
        <patternFill patternType="solid">
          <fgColor rgb="00F4FAF6"/>
          <bgColor rgb="00F4FA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Cuotas cobradas y gastos pagados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'Panel'!C38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'Panel'!$B$39:$B$50</f>
            </numRef>
          </cat>
          <val>
            <numRef>
              <f>'Panel'!$C$39:$C$50</f>
            </numRef>
          </val>
        </ser>
        <ser>
          <idx val="1"/>
          <order val="1"/>
          <tx>
            <strRef>
              <f>'Panel'!D38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'Panel'!$B$39:$B$50</f>
            </numRef>
          </cat>
          <val>
            <numRef>
              <f>'Panel'!$D$39:$D$50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Presupuesto y gasto por partida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'Panel'!C24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'Panel'!$B$25:$B$33</f>
            </numRef>
          </cat>
          <val>
            <numRef>
              <f>'Panel'!$C$25:$C$33</f>
            </numRef>
          </val>
        </ser>
        <ser>
          <idx val="1"/>
          <order val="1"/>
          <tx>
            <strRef>
              <f>'Panel'!D24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'Panel'!$B$25:$B$33</f>
            </numRef>
          </cat>
          <val>
            <numRef>
              <f>'Panel'!$D$25:$D$33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60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60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5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16" customWidth="1" min="3" max="3"/>
    <col width="18" customWidth="1" min="4" max="4"/>
    <col width="16" customWidth="1" min="5" max="5"/>
    <col width="16" customWidth="1" min="6" max="6"/>
    <col width="16" customWidth="1" min="7" max="7"/>
    <col width="16" customWidth="1" min="8" max="8"/>
    <col width="14" customWidth="1" min="9" max="9"/>
  </cols>
  <sheetData>
    <row r="2" ht="34" customHeight="1">
      <c r="B2" s="1" t="inlineStr">
        <is>
          <t>Panel de la comunidad de vecinos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Presupuesto, cuotas, cobros, gastos y saldo de tesorería. Cambia solo las celdas crema de este bloque.</t>
        </is>
      </c>
    </row>
    <row r="5">
      <c r="B5" s="4" t="inlineStr">
        <is>
          <t>PARÁMETROS (celdas crema, editables)</t>
        </is>
      </c>
    </row>
    <row r="6">
      <c r="B6" s="5" t="inlineStr">
        <is>
          <t>Año del ejercicio</t>
        </is>
      </c>
      <c r="C6" s="6" t="n">
        <v>2026</v>
      </c>
      <c r="D6" s="7" t="inlineStr">
        <is>
          <t>Año al que se refieren los gastos y cobros.</t>
        </is>
      </c>
    </row>
    <row r="7">
      <c r="B7" s="5" t="inlineStr">
        <is>
          <t>Mes de corte de cobros (1-12)</t>
        </is>
      </c>
      <c r="C7" s="6" t="n">
        <v>9</v>
      </c>
      <c r="D7" s="7" t="inlineStr">
        <is>
          <t>Se calcula lo debido hasta este mes incluido.</t>
        </is>
      </c>
    </row>
    <row r="8">
      <c r="B8" s="5" t="inlineStr">
        <is>
          <t>Fondo de reserva (% sobre el presupuesto)</t>
        </is>
      </c>
      <c r="C8" s="8" t="n">
        <v>0.05</v>
      </c>
      <c r="D8" s="7" t="inlineStr">
        <is>
          <t>Porcentaje de ejemplo: ponlo según lo acordado en tu comunidad.</t>
        </is>
      </c>
    </row>
    <row r="9">
      <c r="B9" s="5" t="inlineStr">
        <is>
          <t>Derrama: concepto</t>
        </is>
      </c>
      <c r="C9" s="9" t="inlineStr">
        <is>
          <t>Sustitución de un tramo de la bajante</t>
        </is>
      </c>
      <c r="D9" s="10" t="n"/>
      <c r="E9" s="10" t="n"/>
    </row>
    <row r="10">
      <c r="B10" s="5" t="inlineStr">
        <is>
          <t>Derrama: importe total</t>
        </is>
      </c>
      <c r="C10" s="11" t="n">
        <v>4800</v>
      </c>
      <c r="D10" s="7" t="inlineStr">
        <is>
          <t>Importe aprobado en junta, repartido por coeficiente. Pon 0 si no hay derrama.</t>
        </is>
      </c>
    </row>
    <row r="11">
      <c r="B11" s="5" t="inlineStr">
        <is>
          <t>Derrama: número de cuotas mensuales</t>
        </is>
      </c>
      <c r="C11" s="6" t="n">
        <v>4</v>
      </c>
    </row>
    <row r="12">
      <c r="B12" s="5" t="inlineStr">
        <is>
          <t>Derrama: mes de la primera cuota (1-12)</t>
        </is>
      </c>
      <c r="C12" s="6" t="n">
        <v>4</v>
      </c>
    </row>
    <row r="13">
      <c r="B13" s="5" t="inlineStr">
        <is>
          <t>Moroso si debe al menos N cuotas ordinarias</t>
        </is>
      </c>
      <c r="C13" s="12" t="n">
        <v>2</v>
      </c>
      <c r="D13" s="7" t="inlineStr">
        <is>
          <t>Criterio propio de la plantilla, no un plazo legal.</t>
        </is>
      </c>
    </row>
    <row r="14">
      <c r="B14" s="5" t="inlineStr">
        <is>
          <t>Saldo de tesorería a 1 de enero</t>
        </is>
      </c>
      <c r="C14" s="11" t="n">
        <v>3200</v>
      </c>
      <c r="D14" s="7" t="inlineStr">
        <is>
          <t>Lo que había en la cuenta al empezar el ejercicio.</t>
        </is>
      </c>
    </row>
    <row r="15">
      <c r="B15" s="5" t="inlineStr">
        <is>
          <t>Presupuesto anual a repartir (ordinario + fondo)</t>
        </is>
      </c>
      <c r="C15" s="13">
        <f>C35*(1+C8)</f>
        <v/>
      </c>
      <c r="D15" s="7" t="inlineStr">
        <is>
          <t>Es la suma de la tabla de partidas más el fondo de reserva.</t>
        </is>
      </c>
    </row>
    <row r="17" ht="30" customHeight="1">
      <c r="B17" s="14" t="inlineStr">
        <is>
          <t>CUOTA ORDINARIA MENSUAL DE LA COMUNIDAD</t>
        </is>
      </c>
      <c r="C17" s="14" t="inlineStr">
        <is>
          <t>TOTAL COBRADO</t>
        </is>
      </c>
      <c r="E17" s="14" t="inlineStr">
        <is>
          <t>PENDIENTE DE COBRO A LA FECHA DE CORTE</t>
        </is>
      </c>
      <c r="G17" s="14" t="inlineStr">
        <is>
          <t>VIVIENDAS MOROSAS</t>
        </is>
      </c>
    </row>
    <row r="18" ht="34" customHeight="1">
      <c r="B18" s="15">
        <f>C15/12</f>
        <v/>
      </c>
      <c r="C18" s="15">
        <f>SUM(Cobros!$Q$7:$Q$46)</f>
        <v/>
      </c>
      <c r="E18" s="15">
        <f>SUM(Cobros!$S$7:$S$46)</f>
        <v/>
      </c>
      <c r="G18" s="16">
        <f>COUNTIF(Cobros!$U$7:$U$46,"Moroso")</f>
        <v/>
      </c>
    </row>
    <row r="20" ht="30" customHeight="1">
      <c r="B20" s="14" t="inlineStr">
        <is>
          <t>GASTOS PAGADOS</t>
        </is>
      </c>
      <c r="C20" s="14" t="inlineStr">
        <is>
          <t>FACTURAS PENDIENTES DE PAGO</t>
        </is>
      </c>
      <c r="E20" s="14" t="inlineStr">
        <is>
          <t>SALDO DE TESORERÍA</t>
        </is>
      </c>
      <c r="G20" s="14" t="inlineStr">
        <is>
          <t>TASA DE COBRO A LA FECHA DE CORTE</t>
        </is>
      </c>
    </row>
    <row r="21" ht="34" customHeight="1">
      <c r="B21" s="15">
        <f>D51</f>
        <v/>
      </c>
      <c r="C21" s="15">
        <f>SUMIF(Gastos!$G$7:$G$56,"Pendiente",Gastos!$F$7:$F$56)</f>
        <v/>
      </c>
      <c r="E21" s="15">
        <f>C14+C51-D51</f>
        <v/>
      </c>
      <c r="G21" s="17">
        <f>IF(SUM(Cobros!$R$7:$R$46)=0,"",1-SUM(Cobros!$S$7:$S$46)/SUM(Cobros!$R$7:$R$46))</f>
        <v/>
      </c>
    </row>
    <row r="23">
      <c r="B23" s="4" t="inlineStr">
        <is>
          <t>Presupuesto y gasto por partida</t>
        </is>
      </c>
    </row>
    <row r="24" ht="30" customHeight="1">
      <c r="B24" s="18" t="inlineStr">
        <is>
          <t>Partida</t>
        </is>
      </c>
      <c r="C24" s="18" t="inlineStr">
        <is>
          <t>Presupuesto anual</t>
        </is>
      </c>
      <c r="D24" s="18" t="inlineStr">
        <is>
          <t>Gastado</t>
        </is>
      </c>
      <c r="E24" s="18" t="inlineStr">
        <is>
          <t>Disponible</t>
        </is>
      </c>
      <c r="F24" s="18" t="inlineStr">
        <is>
          <t>% ejecutado</t>
        </is>
      </c>
      <c r="G24" s="18" t="inlineStr">
        <is>
          <t>Estado</t>
        </is>
      </c>
    </row>
    <row r="25">
      <c r="B25" s="19" t="inlineStr">
        <is>
          <t>Limpieza de portal y escaleras</t>
        </is>
      </c>
      <c r="C25" s="20" t="n">
        <v>5400</v>
      </c>
      <c r="D25" s="21">
        <f>SUMIF(Gastos!$C$7:$C$56,B25,Gastos!$F$7:$F$56)</f>
        <v/>
      </c>
      <c r="E25" s="21">
        <f>C25-D25</f>
        <v/>
      </c>
      <c r="F25" s="22">
        <f>IF(C25=0,"",D25/C25)</f>
        <v/>
      </c>
      <c r="G25" s="23">
        <f>IF(OR(B25="",C25=0),"",IF(D25&gt;C25,"Excedida",IF(D25&gt;=0.9*C25,"Al límite","En presupuesto")))</f>
        <v/>
      </c>
    </row>
    <row r="26">
      <c r="B26" s="19" t="inlineStr">
        <is>
          <t>Mantenimiento del ascensor</t>
        </is>
      </c>
      <c r="C26" s="20" t="n">
        <v>1850</v>
      </c>
      <c r="D26" s="21">
        <f>SUMIF(Gastos!$C$7:$C$56,B26,Gastos!$F$7:$F$56)</f>
        <v/>
      </c>
      <c r="E26" s="21">
        <f>C26-D26</f>
        <v/>
      </c>
      <c r="F26" s="22">
        <f>IF(C26=0,"",D26/C26)</f>
        <v/>
      </c>
      <c r="G26" s="23">
        <f>IF(OR(B26="",C26=0),"",IF(D26&gt;C26,"Excedida",IF(D26&gt;=0.9*C26,"Al límite","En presupuesto")))</f>
        <v/>
      </c>
    </row>
    <row r="27">
      <c r="B27" s="19" t="inlineStr">
        <is>
          <t>Seguro del edificio</t>
        </is>
      </c>
      <c r="C27" s="20" t="n">
        <v>2300</v>
      </c>
      <c r="D27" s="21">
        <f>SUMIF(Gastos!$C$7:$C$56,B27,Gastos!$F$7:$F$56)</f>
        <v/>
      </c>
      <c r="E27" s="21">
        <f>C27-D27</f>
        <v/>
      </c>
      <c r="F27" s="22">
        <f>IF(C27=0,"",D27/C27)</f>
        <v/>
      </c>
      <c r="G27" s="23">
        <f>IF(OR(B27="",C27=0),"",IF(D27&gt;C27,"Excedida",IF(D27&gt;=0.9*C27,"Al límite","En presupuesto")))</f>
        <v/>
      </c>
    </row>
    <row r="28">
      <c r="B28" s="19" t="inlineStr">
        <is>
          <t>Electricidad de zonas comunes</t>
        </is>
      </c>
      <c r="C28" s="20" t="n">
        <v>1900</v>
      </c>
      <c r="D28" s="21">
        <f>SUMIF(Gastos!$C$7:$C$56,B28,Gastos!$F$7:$F$56)</f>
        <v/>
      </c>
      <c r="E28" s="21">
        <f>C28-D28</f>
        <v/>
      </c>
      <c r="F28" s="22">
        <f>IF(C28=0,"",D28/C28)</f>
        <v/>
      </c>
      <c r="G28" s="23">
        <f>IF(OR(B28="",C28=0),"",IF(D28&gt;C28,"Excedida",IF(D28&gt;=0.9*C28,"Al límite","En presupuesto")))</f>
        <v/>
      </c>
    </row>
    <row r="29">
      <c r="B29" s="19" t="inlineStr">
        <is>
          <t>Agua de zonas comunes</t>
        </is>
      </c>
      <c r="C29" s="20" t="n">
        <v>700</v>
      </c>
      <c r="D29" s="21">
        <f>SUMIF(Gastos!$C$7:$C$56,B29,Gastos!$F$7:$F$56)</f>
        <v/>
      </c>
      <c r="E29" s="21">
        <f>C29-D29</f>
        <v/>
      </c>
      <c r="F29" s="22">
        <f>IF(C29=0,"",D29/C29)</f>
        <v/>
      </c>
      <c r="G29" s="23">
        <f>IF(OR(B29="",C29=0),"",IF(D29&gt;C29,"Excedida",IF(D29&gt;=0.9*C29,"Al límite","En presupuesto")))</f>
        <v/>
      </c>
    </row>
    <row r="30">
      <c r="B30" s="19" t="inlineStr">
        <is>
          <t>Administración de fincas</t>
        </is>
      </c>
      <c r="C30" s="20" t="n">
        <v>2400</v>
      </c>
      <c r="D30" s="21">
        <f>SUMIF(Gastos!$C$7:$C$56,B30,Gastos!$F$7:$F$56)</f>
        <v/>
      </c>
      <c r="E30" s="21">
        <f>C30-D30</f>
        <v/>
      </c>
      <c r="F30" s="22">
        <f>IF(C30=0,"",D30/C30)</f>
        <v/>
      </c>
      <c r="G30" s="23">
        <f>IF(OR(B30="",C30=0),"",IF(D30&gt;C30,"Excedida",IF(D30&gt;=0.9*C30,"Al límite","En presupuesto")))</f>
        <v/>
      </c>
    </row>
    <row r="31">
      <c r="B31" s="19" t="inlineStr">
        <is>
          <t>Jardinería y patio</t>
        </is>
      </c>
      <c r="C31" s="20" t="n">
        <v>600</v>
      </c>
      <c r="D31" s="21">
        <f>SUMIF(Gastos!$C$7:$C$56,B31,Gastos!$F$7:$F$56)</f>
        <v/>
      </c>
      <c r="E31" s="21">
        <f>C31-D31</f>
        <v/>
      </c>
      <c r="F31" s="22">
        <f>IF(C31=0,"",D31/C31)</f>
        <v/>
      </c>
      <c r="G31" s="23">
        <f>IF(OR(B31="",C31=0),"",IF(D31&gt;C31,"Excedida",IF(D31&gt;=0.9*C31,"Al límite","En presupuesto")))</f>
        <v/>
      </c>
    </row>
    <row r="32">
      <c r="B32" s="19" t="inlineStr">
        <is>
          <t>Reparaciones y conservación</t>
        </is>
      </c>
      <c r="C32" s="20" t="n">
        <v>2200</v>
      </c>
      <c r="D32" s="21">
        <f>SUMIF(Gastos!$C$7:$C$56,B32,Gastos!$F$7:$F$56)</f>
        <v/>
      </c>
      <c r="E32" s="21">
        <f>C32-D32</f>
        <v/>
      </c>
      <c r="F32" s="22">
        <f>IF(C32=0,"",D32/C32)</f>
        <v/>
      </c>
      <c r="G32" s="23">
        <f>IF(OR(B32="",C32=0),"",IF(D32&gt;C32,"Excedida",IF(D32&gt;=0.9*C32,"Al límite","En presupuesto")))</f>
        <v/>
      </c>
    </row>
    <row r="33">
      <c r="B33" s="19" t="inlineStr">
        <is>
          <t>Otros gastos</t>
        </is>
      </c>
      <c r="C33" s="20" t="n">
        <v>550</v>
      </c>
      <c r="D33" s="21">
        <f>SUMIF(Gastos!$C$7:$C$56,B33,Gastos!$F$7:$F$56)</f>
        <v/>
      </c>
      <c r="E33" s="21">
        <f>C33-D33</f>
        <v/>
      </c>
      <c r="F33" s="22">
        <f>IF(C33=0,"",D33/C33)</f>
        <v/>
      </c>
      <c r="G33" s="23">
        <f>IF(OR(B33="",C33=0),"",IF(D33&gt;C33,"Excedida",IF(D33&gt;=0.9*C33,"Al límite","En presupuesto")))</f>
        <v/>
      </c>
    </row>
    <row r="34">
      <c r="B34" s="24" t="inlineStr">
        <is>
          <t>Obra extraordinaria (derrama)</t>
        </is>
      </c>
      <c r="C34" s="21">
        <f>C10</f>
        <v/>
      </c>
      <c r="D34" s="21">
        <f>SUMIF(Gastos!$C$7:$C$56,B34,Gastos!$F$7:$F$56)</f>
        <v/>
      </c>
      <c r="E34" s="21">
        <f>C34-D34</f>
        <v/>
      </c>
      <c r="F34" s="22">
        <f>IF(C34=0,"",D34/C34)</f>
        <v/>
      </c>
      <c r="G34" s="23">
        <f>IF(OR(B34="",C34=0),"",IF(D34&gt;C34,"Excedida",IF(D34&gt;=0.9*C34,"Al límite","En presupuesto")))</f>
        <v/>
      </c>
    </row>
    <row r="35">
      <c r="B35" s="25" t="inlineStr">
        <is>
          <t>Total ordinario (sin derrama)</t>
        </is>
      </c>
      <c r="C35" s="26">
        <f>SUM(C25:C33)</f>
        <v/>
      </c>
      <c r="D35" s="26">
        <f>SUM(D25:D33)</f>
        <v/>
      </c>
      <c r="E35" s="26">
        <f>C35-D35</f>
        <v/>
      </c>
      <c r="F35" s="27">
        <f>IF(C35=0,"",D35/C35)</f>
        <v/>
      </c>
      <c r="G35" s="28" t="n"/>
    </row>
    <row r="37">
      <c r="B37" s="4" t="inlineStr">
        <is>
          <t>Tesorería mes a mes</t>
        </is>
      </c>
    </row>
    <row r="38" ht="30" customHeight="1">
      <c r="B38" s="18" t="inlineStr">
        <is>
          <t>Mes</t>
        </is>
      </c>
      <c r="C38" s="18" t="inlineStr">
        <is>
          <t>Cuotas cobradas</t>
        </is>
      </c>
      <c r="D38" s="18" t="inlineStr">
        <is>
          <t>Gastos pagados</t>
        </is>
      </c>
      <c r="E38" s="18" t="inlineStr">
        <is>
          <t>Saldo del mes</t>
        </is>
      </c>
      <c r="F38" s="18" t="inlineStr">
        <is>
          <t>Saldo acumulado</t>
        </is>
      </c>
    </row>
    <row r="39">
      <c r="B39" s="24" t="inlineStr">
        <is>
          <t>Enero</t>
        </is>
      </c>
      <c r="C39" s="21">
        <f>SUM(Cobros!E7:E46)</f>
        <v/>
      </c>
      <c r="D39" s="21">
        <f>SUMIFS(Gastos!$F$7:$F$56,Gastos!$B$7:$B$56,"&gt;="&amp;DATE($C$6,1,1),Gastos!$B$7:$B$56,"&lt;"&amp;DATE($C$6,1+1,1),Gastos!$G$7:$G$56,"Pagado")</f>
        <v/>
      </c>
      <c r="E39" s="21">
        <f>C39-D39</f>
        <v/>
      </c>
      <c r="F39" s="29">
        <f>$C$14+SUM($E$39:E39)</f>
        <v/>
      </c>
    </row>
    <row r="40">
      <c r="B40" s="24" t="inlineStr">
        <is>
          <t>Febrero</t>
        </is>
      </c>
      <c r="C40" s="21">
        <f>SUM(Cobros!F7:F46)</f>
        <v/>
      </c>
      <c r="D40" s="21">
        <f>SUMIFS(Gastos!$F$7:$F$56,Gastos!$B$7:$B$56,"&gt;="&amp;DATE($C$6,2,1),Gastos!$B$7:$B$56,"&lt;"&amp;DATE($C$6,2+1,1),Gastos!$G$7:$G$56,"Pagado")</f>
        <v/>
      </c>
      <c r="E40" s="21">
        <f>C40-D40</f>
        <v/>
      </c>
      <c r="F40" s="29">
        <f>$C$14+SUM($E$39:E40)</f>
        <v/>
      </c>
    </row>
    <row r="41">
      <c r="B41" s="24" t="inlineStr">
        <is>
          <t>Marzo</t>
        </is>
      </c>
      <c r="C41" s="21">
        <f>SUM(Cobros!G7:G46)</f>
        <v/>
      </c>
      <c r="D41" s="21">
        <f>SUMIFS(Gastos!$F$7:$F$56,Gastos!$B$7:$B$56,"&gt;="&amp;DATE($C$6,3,1),Gastos!$B$7:$B$56,"&lt;"&amp;DATE($C$6,3+1,1),Gastos!$G$7:$G$56,"Pagado")</f>
        <v/>
      </c>
      <c r="E41" s="21">
        <f>C41-D41</f>
        <v/>
      </c>
      <c r="F41" s="29">
        <f>$C$14+SUM($E$39:E41)</f>
        <v/>
      </c>
    </row>
    <row r="42">
      <c r="B42" s="24" t="inlineStr">
        <is>
          <t>Abril</t>
        </is>
      </c>
      <c r="C42" s="21">
        <f>SUM(Cobros!H7:H46)</f>
        <v/>
      </c>
      <c r="D42" s="21">
        <f>SUMIFS(Gastos!$F$7:$F$56,Gastos!$B$7:$B$56,"&gt;="&amp;DATE($C$6,4,1),Gastos!$B$7:$B$56,"&lt;"&amp;DATE($C$6,4+1,1),Gastos!$G$7:$G$56,"Pagado")</f>
        <v/>
      </c>
      <c r="E42" s="21">
        <f>C42-D42</f>
        <v/>
      </c>
      <c r="F42" s="29">
        <f>$C$14+SUM($E$39:E42)</f>
        <v/>
      </c>
    </row>
    <row r="43">
      <c r="B43" s="24" t="inlineStr">
        <is>
          <t>Mayo</t>
        </is>
      </c>
      <c r="C43" s="21">
        <f>SUM(Cobros!I7:I46)</f>
        <v/>
      </c>
      <c r="D43" s="21">
        <f>SUMIFS(Gastos!$F$7:$F$56,Gastos!$B$7:$B$56,"&gt;="&amp;DATE($C$6,5,1),Gastos!$B$7:$B$56,"&lt;"&amp;DATE($C$6,5+1,1),Gastos!$G$7:$G$56,"Pagado")</f>
        <v/>
      </c>
      <c r="E43" s="21">
        <f>C43-D43</f>
        <v/>
      </c>
      <c r="F43" s="29">
        <f>$C$14+SUM($E$39:E43)</f>
        <v/>
      </c>
    </row>
    <row r="44">
      <c r="B44" s="24" t="inlineStr">
        <is>
          <t>Junio</t>
        </is>
      </c>
      <c r="C44" s="21">
        <f>SUM(Cobros!J7:J46)</f>
        <v/>
      </c>
      <c r="D44" s="21">
        <f>SUMIFS(Gastos!$F$7:$F$56,Gastos!$B$7:$B$56,"&gt;="&amp;DATE($C$6,6,1),Gastos!$B$7:$B$56,"&lt;"&amp;DATE($C$6,6+1,1),Gastos!$G$7:$G$56,"Pagado")</f>
        <v/>
      </c>
      <c r="E44" s="21">
        <f>C44-D44</f>
        <v/>
      </c>
      <c r="F44" s="29">
        <f>$C$14+SUM($E$39:E44)</f>
        <v/>
      </c>
    </row>
    <row r="45">
      <c r="B45" s="24" t="inlineStr">
        <is>
          <t>Julio</t>
        </is>
      </c>
      <c r="C45" s="21">
        <f>SUM(Cobros!K7:K46)</f>
        <v/>
      </c>
      <c r="D45" s="21">
        <f>SUMIFS(Gastos!$F$7:$F$56,Gastos!$B$7:$B$56,"&gt;="&amp;DATE($C$6,7,1),Gastos!$B$7:$B$56,"&lt;"&amp;DATE($C$6,7+1,1),Gastos!$G$7:$G$56,"Pagado")</f>
        <v/>
      </c>
      <c r="E45" s="21">
        <f>C45-D45</f>
        <v/>
      </c>
      <c r="F45" s="29">
        <f>$C$14+SUM($E$39:E45)</f>
        <v/>
      </c>
    </row>
    <row r="46">
      <c r="B46" s="24" t="inlineStr">
        <is>
          <t>Agosto</t>
        </is>
      </c>
      <c r="C46" s="21">
        <f>SUM(Cobros!L7:L46)</f>
        <v/>
      </c>
      <c r="D46" s="21">
        <f>SUMIFS(Gastos!$F$7:$F$56,Gastos!$B$7:$B$56,"&gt;="&amp;DATE($C$6,8,1),Gastos!$B$7:$B$56,"&lt;"&amp;DATE($C$6,8+1,1),Gastos!$G$7:$G$56,"Pagado")</f>
        <v/>
      </c>
      <c r="E46" s="21">
        <f>C46-D46</f>
        <v/>
      </c>
      <c r="F46" s="29">
        <f>$C$14+SUM($E$39:E46)</f>
        <v/>
      </c>
    </row>
    <row r="47">
      <c r="B47" s="24" t="inlineStr">
        <is>
          <t>Septiembre</t>
        </is>
      </c>
      <c r="C47" s="21">
        <f>SUM(Cobros!M7:M46)</f>
        <v/>
      </c>
      <c r="D47" s="21">
        <f>SUMIFS(Gastos!$F$7:$F$56,Gastos!$B$7:$B$56,"&gt;="&amp;DATE($C$6,9,1),Gastos!$B$7:$B$56,"&lt;"&amp;DATE($C$6,9+1,1),Gastos!$G$7:$G$56,"Pagado")</f>
        <v/>
      </c>
      <c r="E47" s="21">
        <f>C47-D47</f>
        <v/>
      </c>
      <c r="F47" s="29">
        <f>$C$14+SUM($E$39:E47)</f>
        <v/>
      </c>
    </row>
    <row r="48">
      <c r="B48" s="24" t="inlineStr">
        <is>
          <t>Octubre</t>
        </is>
      </c>
      <c r="C48" s="21">
        <f>SUM(Cobros!N7:N46)</f>
        <v/>
      </c>
      <c r="D48" s="21">
        <f>SUMIFS(Gastos!$F$7:$F$56,Gastos!$B$7:$B$56,"&gt;="&amp;DATE($C$6,10,1),Gastos!$B$7:$B$56,"&lt;"&amp;DATE($C$6,10+1,1),Gastos!$G$7:$G$56,"Pagado")</f>
        <v/>
      </c>
      <c r="E48" s="21">
        <f>C48-D48</f>
        <v/>
      </c>
      <c r="F48" s="29">
        <f>$C$14+SUM($E$39:E48)</f>
        <v/>
      </c>
    </row>
    <row r="49">
      <c r="B49" s="24" t="inlineStr">
        <is>
          <t>Noviembre</t>
        </is>
      </c>
      <c r="C49" s="21">
        <f>SUM(Cobros!O7:O46)</f>
        <v/>
      </c>
      <c r="D49" s="21">
        <f>SUMIFS(Gastos!$F$7:$F$56,Gastos!$B$7:$B$56,"&gt;="&amp;DATE($C$6,11,1),Gastos!$B$7:$B$56,"&lt;"&amp;DATE($C$6,11+1,1),Gastos!$G$7:$G$56,"Pagado")</f>
        <v/>
      </c>
      <c r="E49" s="21">
        <f>C49-D49</f>
        <v/>
      </c>
      <c r="F49" s="29">
        <f>$C$14+SUM($E$39:E49)</f>
        <v/>
      </c>
    </row>
    <row r="50">
      <c r="B50" s="24" t="inlineStr">
        <is>
          <t>Diciembre</t>
        </is>
      </c>
      <c r="C50" s="21">
        <f>SUM(Cobros!P7:P46)</f>
        <v/>
      </c>
      <c r="D50" s="21">
        <f>SUMIFS(Gastos!$F$7:$F$56,Gastos!$B$7:$B$56,"&gt;="&amp;DATE($C$6,12,1),Gastos!$B$7:$B$56,"&lt;"&amp;DATE($C$6,12+1,1),Gastos!$G$7:$G$56,"Pagado")</f>
        <v/>
      </c>
      <c r="E50" s="21">
        <f>C50-D50</f>
        <v/>
      </c>
      <c r="F50" s="29">
        <f>$C$14+SUM($E$39:E50)</f>
        <v/>
      </c>
    </row>
    <row r="51">
      <c r="B51" s="25" t="inlineStr">
        <is>
          <t>Total del año</t>
        </is>
      </c>
      <c r="C51" s="26">
        <f>SUM(C39:C50)</f>
        <v/>
      </c>
      <c r="D51" s="26">
        <f>SUM(D39:D50)</f>
        <v/>
      </c>
      <c r="E51" s="26">
        <f>C51-D51</f>
        <v/>
      </c>
      <c r="F51" s="28" t="n"/>
    </row>
    <row r="53">
      <c r="B53" s="4" t="inlineStr">
        <is>
          <t>Mayores deudas pendientes (las 5 más altas)</t>
        </is>
      </c>
    </row>
    <row r="54" ht="30" customHeight="1">
      <c r="B54" s="18" t="inlineStr">
        <is>
          <t>Nº</t>
        </is>
      </c>
      <c r="C54" s="18" t="inlineStr">
        <is>
          <t>Vivienda</t>
        </is>
      </c>
      <c r="D54" s="18" t="inlineStr">
        <is>
          <t>Propietario/a</t>
        </is>
      </c>
      <c r="E54" s="18" t="inlineStr">
        <is>
          <t>Pendiente</t>
        </is>
      </c>
      <c r="F54" s="18" t="inlineStr">
        <is>
          <t>Cuotas adeudadas</t>
        </is>
      </c>
      <c r="G54" s="18" t="inlineStr">
        <is>
          <t>Estado</t>
        </is>
      </c>
    </row>
    <row r="55">
      <c r="B55" s="30" t="n">
        <v>1</v>
      </c>
      <c r="C55" s="23">
        <f>IFERROR(INDEX(Cobros!$B$7:$B$46,MATCH(LARGE(Cobros!$V$7:$V$46,$B55),Cobros!$V$7:$V$46,0)),"")</f>
        <v/>
      </c>
      <c r="D55" s="31">
        <f>IFERROR(INDEX(Cobros!$C$7:$C$46,MATCH(LARGE(Cobros!$V$7:$V$46,$B55),Cobros!$V$7:$V$46,0)),"")</f>
        <v/>
      </c>
      <c r="E55" s="21">
        <f>IFERROR(INDEX(Cobros!$S$7:$S$46,MATCH(LARGE(Cobros!$V$7:$V$46,$B55),Cobros!$V$7:$V$46,0)),"")</f>
        <v/>
      </c>
      <c r="F55" s="32">
        <f>IFERROR(INDEX(Cobros!$T$7:$T$46,MATCH(LARGE(Cobros!$V$7:$V$46,$B55),Cobros!$V$7:$V$46,0)),"")</f>
        <v/>
      </c>
      <c r="G55" s="23">
        <f>IFERROR(INDEX(Cobros!$U$7:$U$46,MATCH(LARGE(Cobros!$V$7:$V$46,$B55),Cobros!$V$7:$V$46,0)),"")</f>
        <v/>
      </c>
    </row>
    <row r="56">
      <c r="B56" s="30" t="n">
        <v>2</v>
      </c>
      <c r="C56" s="23">
        <f>IFERROR(INDEX(Cobros!$B$7:$B$46,MATCH(LARGE(Cobros!$V$7:$V$46,$B56),Cobros!$V$7:$V$46,0)),"")</f>
        <v/>
      </c>
      <c r="D56" s="31">
        <f>IFERROR(INDEX(Cobros!$C$7:$C$46,MATCH(LARGE(Cobros!$V$7:$V$46,$B56),Cobros!$V$7:$V$46,0)),"")</f>
        <v/>
      </c>
      <c r="E56" s="21">
        <f>IFERROR(INDEX(Cobros!$S$7:$S$46,MATCH(LARGE(Cobros!$V$7:$V$46,$B56),Cobros!$V$7:$V$46,0)),"")</f>
        <v/>
      </c>
      <c r="F56" s="32">
        <f>IFERROR(INDEX(Cobros!$T$7:$T$46,MATCH(LARGE(Cobros!$V$7:$V$46,$B56),Cobros!$V$7:$V$46,0)),"")</f>
        <v/>
      </c>
      <c r="G56" s="23">
        <f>IFERROR(INDEX(Cobros!$U$7:$U$46,MATCH(LARGE(Cobros!$V$7:$V$46,$B56),Cobros!$V$7:$V$46,0)),"")</f>
        <v/>
      </c>
    </row>
    <row r="57">
      <c r="B57" s="30" t="n">
        <v>3</v>
      </c>
      <c r="C57" s="23">
        <f>IFERROR(INDEX(Cobros!$B$7:$B$46,MATCH(LARGE(Cobros!$V$7:$V$46,$B57),Cobros!$V$7:$V$46,0)),"")</f>
        <v/>
      </c>
      <c r="D57" s="31">
        <f>IFERROR(INDEX(Cobros!$C$7:$C$46,MATCH(LARGE(Cobros!$V$7:$V$46,$B57),Cobros!$V$7:$V$46,0)),"")</f>
        <v/>
      </c>
      <c r="E57" s="21">
        <f>IFERROR(INDEX(Cobros!$S$7:$S$46,MATCH(LARGE(Cobros!$V$7:$V$46,$B57),Cobros!$V$7:$V$46,0)),"")</f>
        <v/>
      </c>
      <c r="F57" s="32">
        <f>IFERROR(INDEX(Cobros!$T$7:$T$46,MATCH(LARGE(Cobros!$V$7:$V$46,$B57),Cobros!$V$7:$V$46,0)),"")</f>
        <v/>
      </c>
      <c r="G57" s="23">
        <f>IFERROR(INDEX(Cobros!$U$7:$U$46,MATCH(LARGE(Cobros!$V$7:$V$46,$B57),Cobros!$V$7:$V$46,0)),"")</f>
        <v/>
      </c>
    </row>
    <row r="58">
      <c r="B58" s="30" t="n">
        <v>4</v>
      </c>
      <c r="C58" s="23">
        <f>IFERROR(INDEX(Cobros!$B$7:$B$46,MATCH(LARGE(Cobros!$V$7:$V$46,$B58),Cobros!$V$7:$V$46,0)),"")</f>
        <v/>
      </c>
      <c r="D58" s="31">
        <f>IFERROR(INDEX(Cobros!$C$7:$C$46,MATCH(LARGE(Cobros!$V$7:$V$46,$B58),Cobros!$V$7:$V$46,0)),"")</f>
        <v/>
      </c>
      <c r="E58" s="21">
        <f>IFERROR(INDEX(Cobros!$S$7:$S$46,MATCH(LARGE(Cobros!$V$7:$V$46,$B58),Cobros!$V$7:$V$46,0)),"")</f>
        <v/>
      </c>
      <c r="F58" s="32">
        <f>IFERROR(INDEX(Cobros!$T$7:$T$46,MATCH(LARGE(Cobros!$V$7:$V$46,$B58),Cobros!$V$7:$V$46,0)),"")</f>
        <v/>
      </c>
      <c r="G58" s="23">
        <f>IFERROR(INDEX(Cobros!$U$7:$U$46,MATCH(LARGE(Cobros!$V$7:$V$46,$B58),Cobros!$V$7:$V$46,0)),"")</f>
        <v/>
      </c>
    </row>
    <row r="59">
      <c r="B59" s="30" t="n">
        <v>5</v>
      </c>
      <c r="C59" s="23">
        <f>IFERROR(INDEX(Cobros!$B$7:$B$46,MATCH(LARGE(Cobros!$V$7:$V$46,$B59),Cobros!$V$7:$V$46,0)),"")</f>
        <v/>
      </c>
      <c r="D59" s="31">
        <f>IFERROR(INDEX(Cobros!$C$7:$C$46,MATCH(LARGE(Cobros!$V$7:$V$46,$B59),Cobros!$V$7:$V$46,0)),"")</f>
        <v/>
      </c>
      <c r="E59" s="21">
        <f>IFERROR(INDEX(Cobros!$S$7:$S$46,MATCH(LARGE(Cobros!$V$7:$V$46,$B59),Cobros!$V$7:$V$46,0)),"")</f>
        <v/>
      </c>
      <c r="F59" s="32">
        <f>IFERROR(INDEX(Cobros!$T$7:$T$46,MATCH(LARGE(Cobros!$V$7:$V$46,$B59),Cobros!$V$7:$V$46,0)),"")</f>
        <v/>
      </c>
      <c r="G59" s="23">
        <f>IFERROR(INDEX(Cobros!$U$7:$U$46,MATCH(LARGE(Cobros!$V$7:$V$46,$B59),Cobros!$V$7:$V$46,0)),"")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5">
    <mergeCell ref="C20:D20"/>
    <mergeCell ref="G21:H21"/>
    <mergeCell ref="G20:H20"/>
    <mergeCell ref="E20:F20"/>
    <mergeCell ref="C21:D21"/>
    <mergeCell ref="E18:F18"/>
    <mergeCell ref="B2:I2"/>
    <mergeCell ref="G18:H18"/>
    <mergeCell ref="C9:E9"/>
    <mergeCell ref="B3:I3"/>
    <mergeCell ref="C18:D18"/>
    <mergeCell ref="E17:F17"/>
    <mergeCell ref="C17:D17"/>
    <mergeCell ref="G17:H17"/>
    <mergeCell ref="E21:F21"/>
  </mergeCells>
  <conditionalFormatting sqref="G18">
    <cfRule type="expression" priority="1" dxfId="0">
      <formula>$G$18&gt;0</formula>
    </cfRule>
  </conditionalFormatting>
  <conditionalFormatting sqref="E21">
    <cfRule type="expression" priority="2" dxfId="0">
      <formula>$E$21&lt;0</formula>
    </cfRule>
  </conditionalFormatting>
  <conditionalFormatting sqref="G25:G34">
    <cfRule type="cellIs" priority="3" operator="equal" dxfId="0">
      <formula>"Excedida"</formula>
    </cfRule>
    <cfRule type="cellIs" priority="4" operator="equal" dxfId="1">
      <formula>"Al límite"</formula>
    </cfRule>
    <cfRule type="cellIs" priority="5" operator="equal" dxfId="2">
      <formula>"En presupuesto"</formula>
    </cfRule>
  </conditionalFormatting>
  <conditionalFormatting sqref="E25:E35">
    <cfRule type="expression" priority="6" dxfId="0">
      <formula>E25&lt;0</formula>
    </cfRule>
  </conditionalFormatting>
  <conditionalFormatting sqref="F25:F34">
    <cfRule type="dataBar" priority="7">
      <dataBar>
        <cfvo type="num" val="0"/>
        <cfvo type="max"/>
        <color rgb="0010B981"/>
      </dataBar>
    </cfRule>
  </conditionalFormatting>
  <conditionalFormatting sqref="E39:F51">
    <cfRule type="expression" priority="8" dxfId="0">
      <formula>E39&lt;0</formula>
    </cfRule>
  </conditionalFormatting>
  <conditionalFormatting sqref="G55:G59">
    <cfRule type="cellIs" priority="9" operator="equal" dxfId="0">
      <formula>"Moroso"</formula>
    </cfRule>
    <cfRule type="cellIs" priority="10" operator="equal" dxfId="1">
      <formula>"Con retraso"</formula>
    </cfRule>
  </conditionalFormatting>
  <dataValidations count="3">
    <dataValidation sqref="C7 C12" showDropDown="0" showInputMessage="0" showErrorMessage="0" allowBlank="0" errorTitle="Mes no válido" error="Escribe un mes entre 1 y 12." type="whole" operator="between">
      <formula1>1</formula1>
      <formula2>12</formula2>
    </dataValidation>
    <dataValidation sqref="C6" showDropDown="0" showInputMessage="0" showErrorMessage="0" allowBlank="0" errorTitle="Año no válido" error="Escribe un año de cuatro cifras." type="whole" operator="between">
      <formula1>2000</formula1>
      <formula2>2100</formula2>
    </dataValidation>
    <dataValidation sqref="C8 C10 C11 C13" showDropDown="0" showInputMessage="0" showErrorMessage="0" allowBlank="0" errorTitle="Valor no válido" error="Escribe un número igual o mayor que 0.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J49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22" customWidth="1" min="3" max="3"/>
    <col width="13" customWidth="1" min="4" max="4"/>
    <col width="15" customWidth="1" min="5" max="5"/>
    <col width="15" customWidth="1" min="6" max="6"/>
    <col width="15" customWidth="1" min="7" max="7"/>
    <col width="15" customWidth="1" min="8" max="8"/>
    <col width="16" customWidth="1" min="9" max="9"/>
    <col width="28" customWidth="1" min="10" max="10"/>
  </cols>
  <sheetData>
    <row r="2" ht="34" customHeight="1">
      <c r="B2" s="1" t="inlineStr">
        <is>
          <t>Viviendas, coeficientes y cuotas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Una fila por vivienda o local. Escribe vivienda, propietario y coeficiente: las cuotas se calculan solas.</t>
        </is>
      </c>
    </row>
    <row r="4">
      <c r="B4" s="5" t="inlineStr">
        <is>
          <t>Suma de coeficientes:</t>
        </is>
      </c>
      <c r="D4" s="33">
        <f>SUM(D7:D46)</f>
        <v/>
      </c>
      <c r="E4" s="34">
        <f>IF(ABS(D4-1)&lt;0.00005,"Correcto","Revisa: deben sumar 100%")</f>
        <v/>
      </c>
      <c r="F4" s="35" t="n"/>
      <c r="G4" s="36" t="n"/>
    </row>
    <row r="6" ht="54" customHeight="1">
      <c r="B6" s="18" t="inlineStr">
        <is>
          <t>Vivienda</t>
        </is>
      </c>
      <c r="C6" s="18" t="inlineStr">
        <is>
          <t>Propietario/a</t>
        </is>
      </c>
      <c r="D6" s="18" t="inlineStr">
        <is>
          <t>Coeficiente</t>
        </is>
      </c>
      <c r="E6" s="18" t="inlineStr">
        <is>
          <t>Cuota ordinaria mensual</t>
        </is>
      </c>
      <c r="F6" s="18" t="inlineStr">
        <is>
          <t>Cuota ordinaria anual</t>
        </is>
      </c>
      <c r="G6" s="18" t="inlineStr">
        <is>
          <t>Derrama total de la vivienda</t>
        </is>
      </c>
      <c r="H6" s="18" t="inlineStr">
        <is>
          <t>Cuota mensual de derrama</t>
        </is>
      </c>
      <c r="I6" s="18" t="inlineStr">
        <is>
          <t>Cuota mensual total (mientras dure la derrama)</t>
        </is>
      </c>
      <c r="J6" s="18" t="inlineStr">
        <is>
          <t>Notas</t>
        </is>
      </c>
    </row>
    <row r="7">
      <c r="B7" s="37" t="inlineStr">
        <is>
          <t>1ºA</t>
        </is>
      </c>
      <c r="C7" s="19" t="inlineStr">
        <is>
          <t>Familia Pardo</t>
        </is>
      </c>
      <c r="D7" s="38" t="n">
        <v>0.082</v>
      </c>
      <c r="E7" s="21">
        <f>IF(OR(B7="",D7=""),"",ROUND(Panel!$C$15*D7/12,2))</f>
        <v/>
      </c>
      <c r="F7" s="21">
        <f>IF(E7="","",E7*12)</f>
        <v/>
      </c>
      <c r="G7" s="21">
        <f>IF(OR(B7="",D7=""),"",ROUND(Panel!$C$10*D7,2))</f>
        <v/>
      </c>
      <c r="H7" s="21">
        <f>IF(G7="","",IF(Panel!$C$11&gt;0,ROUND(G7/Panel!$C$11,2),0))</f>
        <v/>
      </c>
      <c r="I7" s="29">
        <f>IF(E7="","",E7+H7)</f>
        <v/>
      </c>
      <c r="J7" s="19" t="n"/>
    </row>
    <row r="8">
      <c r="B8" s="37" t="inlineStr">
        <is>
          <t>1ºB</t>
        </is>
      </c>
      <c r="C8" s="19" t="inlineStr">
        <is>
          <t>Marta Olivares</t>
        </is>
      </c>
      <c r="D8" s="38" t="n">
        <v>0.078</v>
      </c>
      <c r="E8" s="21">
        <f>IF(OR(B8="",D8=""),"",ROUND(Panel!$C$15*D8/12,2))</f>
        <v/>
      </c>
      <c r="F8" s="21">
        <f>IF(E8="","",E8*12)</f>
        <v/>
      </c>
      <c r="G8" s="21">
        <f>IF(OR(B8="",D8=""),"",ROUND(Panel!$C$10*D8,2))</f>
        <v/>
      </c>
      <c r="H8" s="21">
        <f>IF(G8="","",IF(Panel!$C$11&gt;0,ROUND(G8/Panel!$C$11,2),0))</f>
        <v/>
      </c>
      <c r="I8" s="29">
        <f>IF(E8="","",E8+H8)</f>
        <v/>
      </c>
      <c r="J8" s="19" t="n"/>
    </row>
    <row r="9">
      <c r="B9" s="37" t="inlineStr">
        <is>
          <t>1ºC</t>
        </is>
      </c>
      <c r="C9" s="19" t="inlineStr">
        <is>
          <t>Familia Gil</t>
        </is>
      </c>
      <c r="D9" s="38" t="n">
        <v>0.08400000000000001</v>
      </c>
      <c r="E9" s="21">
        <f>IF(OR(B9="",D9=""),"",ROUND(Panel!$C$15*D9/12,2))</f>
        <v/>
      </c>
      <c r="F9" s="21">
        <f>IF(E9="","",E9*12)</f>
        <v/>
      </c>
      <c r="G9" s="21">
        <f>IF(OR(B9="",D9=""),"",ROUND(Panel!$C$10*D9,2))</f>
        <v/>
      </c>
      <c r="H9" s="21">
        <f>IF(G9="","",IF(Panel!$C$11&gt;0,ROUND(G9/Panel!$C$11,2),0))</f>
        <v/>
      </c>
      <c r="I9" s="29">
        <f>IF(E9="","",E9+H9)</f>
        <v/>
      </c>
      <c r="J9" s="19" t="inlineStr">
        <is>
          <t>Dice que paga esta semana</t>
        </is>
      </c>
    </row>
    <row r="10">
      <c r="B10" s="37" t="inlineStr">
        <is>
          <t>2ºA</t>
        </is>
      </c>
      <c r="C10" s="19" t="inlineStr">
        <is>
          <t>Luis Calvo</t>
        </is>
      </c>
      <c r="D10" s="38" t="n">
        <v>0.082</v>
      </c>
      <c r="E10" s="21">
        <f>IF(OR(B10="",D10=""),"",ROUND(Panel!$C$15*D10/12,2))</f>
        <v/>
      </c>
      <c r="F10" s="21">
        <f>IF(E10="","",E10*12)</f>
        <v/>
      </c>
      <c r="G10" s="21">
        <f>IF(OR(B10="",D10=""),"",ROUND(Panel!$C$10*D10,2))</f>
        <v/>
      </c>
      <c r="H10" s="21">
        <f>IF(G10="","",IF(Panel!$C$11&gt;0,ROUND(G10/Panel!$C$11,2),0))</f>
        <v/>
      </c>
      <c r="I10" s="29">
        <f>IF(E10="","",E10+H10)</f>
        <v/>
      </c>
      <c r="J10" s="19" t="n"/>
    </row>
    <row r="11">
      <c r="B11" s="37" t="inlineStr">
        <is>
          <t>2ºB</t>
        </is>
      </c>
      <c r="C11" s="19" t="inlineStr">
        <is>
          <t>Familia Navas</t>
        </is>
      </c>
      <c r="D11" s="38" t="n">
        <v>0.078</v>
      </c>
      <c r="E11" s="21">
        <f>IF(OR(B11="",D11=""),"",ROUND(Panel!$C$15*D11/12,2))</f>
        <v/>
      </c>
      <c r="F11" s="21">
        <f>IF(E11="","",E11*12)</f>
        <v/>
      </c>
      <c r="G11" s="21">
        <f>IF(OR(B11="",D11=""),"",ROUND(Panel!$C$10*D11,2))</f>
        <v/>
      </c>
      <c r="H11" s="21">
        <f>IF(G11="","",IF(Panel!$C$11&gt;0,ROUND(G11/Panel!$C$11,2),0))</f>
        <v/>
      </c>
      <c r="I11" s="29">
        <f>IF(E11="","",E11+H11)</f>
        <v/>
      </c>
      <c r="J11" s="19" t="inlineStr">
        <is>
          <t>Pendiente de reclamar</t>
        </is>
      </c>
    </row>
    <row r="12">
      <c r="B12" s="37" t="inlineStr">
        <is>
          <t>2ºC</t>
        </is>
      </c>
      <c r="C12" s="19" t="inlineStr">
        <is>
          <t>Irene Bravo</t>
        </is>
      </c>
      <c r="D12" s="38" t="n">
        <v>0.08400000000000001</v>
      </c>
      <c r="E12" s="21">
        <f>IF(OR(B12="",D12=""),"",ROUND(Panel!$C$15*D12/12,2))</f>
        <v/>
      </c>
      <c r="F12" s="21">
        <f>IF(E12="","",E12*12)</f>
        <v/>
      </c>
      <c r="G12" s="21">
        <f>IF(OR(B12="",D12=""),"",ROUND(Panel!$C$10*D12,2))</f>
        <v/>
      </c>
      <c r="H12" s="21">
        <f>IF(G12="","",IF(Panel!$C$11&gt;0,ROUND(G12/Panel!$C$11,2),0))</f>
        <v/>
      </c>
      <c r="I12" s="29">
        <f>IF(E12="","",E12+H12)</f>
        <v/>
      </c>
      <c r="J12" s="19" t="n"/>
    </row>
    <row r="13">
      <c r="B13" s="37" t="inlineStr">
        <is>
          <t>3ºA</t>
        </is>
      </c>
      <c r="C13" s="19" t="inlineStr">
        <is>
          <t>Familia Sanz</t>
        </is>
      </c>
      <c r="D13" s="38" t="n">
        <v>0.082</v>
      </c>
      <c r="E13" s="21">
        <f>IF(OR(B13="",D13=""),"",ROUND(Panel!$C$15*D13/12,2))</f>
        <v/>
      </c>
      <c r="F13" s="21">
        <f>IF(E13="","",E13*12)</f>
        <v/>
      </c>
      <c r="G13" s="21">
        <f>IF(OR(B13="",D13=""),"",ROUND(Panel!$C$10*D13,2))</f>
        <v/>
      </c>
      <c r="H13" s="21">
        <f>IF(G13="","",IF(Panel!$C$11&gt;0,ROUND(G13/Panel!$C$11,2),0))</f>
        <v/>
      </c>
      <c r="I13" s="29">
        <f>IF(E13="","",E13+H13)</f>
        <v/>
      </c>
      <c r="J13" s="19" t="n"/>
    </row>
    <row r="14">
      <c r="B14" s="37" t="inlineStr">
        <is>
          <t>3ºB</t>
        </is>
      </c>
      <c r="C14" s="19" t="inlineStr">
        <is>
          <t>Pablo Ferrer</t>
        </is>
      </c>
      <c r="D14" s="38" t="n">
        <v>0.078</v>
      </c>
      <c r="E14" s="21">
        <f>IF(OR(B14="",D14=""),"",ROUND(Panel!$C$15*D14/12,2))</f>
        <v/>
      </c>
      <c r="F14" s="21">
        <f>IF(E14="","",E14*12)</f>
        <v/>
      </c>
      <c r="G14" s="21">
        <f>IF(OR(B14="",D14=""),"",ROUND(Panel!$C$10*D14,2))</f>
        <v/>
      </c>
      <c r="H14" s="21">
        <f>IF(G14="","",IF(Panel!$C$11&gt;0,ROUND(G14/Panel!$C$11,2),0))</f>
        <v/>
      </c>
      <c r="I14" s="29">
        <f>IF(E14="","",E14+H14)</f>
        <v/>
      </c>
      <c r="J14" s="19" t="n"/>
    </row>
    <row r="15">
      <c r="B15" s="37" t="inlineStr">
        <is>
          <t>3ºC</t>
        </is>
      </c>
      <c r="C15" s="19" t="inlineStr">
        <is>
          <t>Familia Mora</t>
        </is>
      </c>
      <c r="D15" s="38" t="n">
        <v>0.08400000000000001</v>
      </c>
      <c r="E15" s="21">
        <f>IF(OR(B15="",D15=""),"",ROUND(Panel!$C$15*D15/12,2))</f>
        <v/>
      </c>
      <c r="F15" s="21">
        <f>IF(E15="","",E15*12)</f>
        <v/>
      </c>
      <c r="G15" s="21">
        <f>IF(OR(B15="",D15=""),"",ROUND(Panel!$C$10*D15,2))</f>
        <v/>
      </c>
      <c r="H15" s="21">
        <f>IF(G15="","",IF(Panel!$C$11&gt;0,ROUND(G15/Panel!$C$11,2),0))</f>
        <v/>
      </c>
      <c r="I15" s="29">
        <f>IF(E15="","",E15+H15)</f>
        <v/>
      </c>
      <c r="J15" s="19" t="n"/>
    </row>
    <row r="16">
      <c r="B16" s="37" t="inlineStr">
        <is>
          <t>4ºA</t>
        </is>
      </c>
      <c r="C16" s="19" t="inlineStr">
        <is>
          <t>Elena Cano</t>
        </is>
      </c>
      <c r="D16" s="38" t="n">
        <v>0.091</v>
      </c>
      <c r="E16" s="21">
        <f>IF(OR(B16="",D16=""),"",ROUND(Panel!$C$15*D16/12,2))</f>
        <v/>
      </c>
      <c r="F16" s="21">
        <f>IF(E16="","",E16*12)</f>
        <v/>
      </c>
      <c r="G16" s="21">
        <f>IF(OR(B16="",D16=""),"",ROUND(Panel!$C$10*D16,2))</f>
        <v/>
      </c>
      <c r="H16" s="21">
        <f>IF(G16="","",IF(Panel!$C$11&gt;0,ROUND(G16/Panel!$C$11,2),0))</f>
        <v/>
      </c>
      <c r="I16" s="29">
        <f>IF(E16="","",E16+H16)</f>
        <v/>
      </c>
      <c r="J16" s="19" t="inlineStr">
        <is>
          <t>Aviso enviado en septiembre</t>
        </is>
      </c>
    </row>
    <row r="17">
      <c r="B17" s="37" t="inlineStr">
        <is>
          <t>4ºB</t>
        </is>
      </c>
      <c r="C17" s="19" t="inlineStr">
        <is>
          <t>Familia Lorca</t>
        </is>
      </c>
      <c r="D17" s="38" t="n">
        <v>0.089</v>
      </c>
      <c r="E17" s="21">
        <f>IF(OR(B17="",D17=""),"",ROUND(Panel!$C$15*D17/12,2))</f>
        <v/>
      </c>
      <c r="F17" s="21">
        <f>IF(E17="","",E17*12)</f>
        <v/>
      </c>
      <c r="G17" s="21">
        <f>IF(OR(B17="",D17=""),"",ROUND(Panel!$C$10*D17,2))</f>
        <v/>
      </c>
      <c r="H17" s="21">
        <f>IF(G17="","",IF(Panel!$C$11&gt;0,ROUND(G17/Panel!$C$11,2),0))</f>
        <v/>
      </c>
      <c r="I17" s="29">
        <f>IF(E17="","",E17+H17)</f>
        <v/>
      </c>
      <c r="J17" s="19" t="n"/>
    </row>
    <row r="18">
      <c r="B18" s="37" t="inlineStr">
        <is>
          <t>4ºC</t>
        </is>
      </c>
      <c r="C18" s="19" t="inlineStr">
        <is>
          <t>Andrés Vidal</t>
        </is>
      </c>
      <c r="D18" s="38" t="n">
        <v>0.08799999999999999</v>
      </c>
      <c r="E18" s="21">
        <f>IF(OR(B18="",D18=""),"",ROUND(Panel!$C$15*D18/12,2))</f>
        <v/>
      </c>
      <c r="F18" s="21">
        <f>IF(E18="","",E18*12)</f>
        <v/>
      </c>
      <c r="G18" s="21">
        <f>IF(OR(B18="",D18=""),"",ROUND(Panel!$C$10*D18,2))</f>
        <v/>
      </c>
      <c r="H18" s="21">
        <f>IF(G18="","",IF(Panel!$C$11&gt;0,ROUND(G18/Panel!$C$11,2),0))</f>
        <v/>
      </c>
      <c r="I18" s="29">
        <f>IF(E18="","",E18+H18)</f>
        <v/>
      </c>
      <c r="J18" s="19" t="n"/>
    </row>
    <row r="19">
      <c r="B19" s="37" t="n"/>
      <c r="C19" s="19" t="n"/>
      <c r="D19" s="38" t="n"/>
      <c r="E19" s="21">
        <f>IF(OR(B19="",D19=""),"",ROUND(Panel!$C$15*D19/12,2))</f>
        <v/>
      </c>
      <c r="F19" s="21">
        <f>IF(E19="","",E19*12)</f>
        <v/>
      </c>
      <c r="G19" s="21">
        <f>IF(OR(B19="",D19=""),"",ROUND(Panel!$C$10*D19,2))</f>
        <v/>
      </c>
      <c r="H19" s="21">
        <f>IF(G19="","",IF(Panel!$C$11&gt;0,ROUND(G19/Panel!$C$11,2),0))</f>
        <v/>
      </c>
      <c r="I19" s="29">
        <f>IF(E19="","",E19+H19)</f>
        <v/>
      </c>
      <c r="J19" s="19" t="n"/>
    </row>
    <row r="20">
      <c r="B20" s="37" t="n"/>
      <c r="C20" s="19" t="n"/>
      <c r="D20" s="38" t="n"/>
      <c r="E20" s="21">
        <f>IF(OR(B20="",D20=""),"",ROUND(Panel!$C$15*D20/12,2))</f>
        <v/>
      </c>
      <c r="F20" s="21">
        <f>IF(E20="","",E20*12)</f>
        <v/>
      </c>
      <c r="G20" s="21">
        <f>IF(OR(B20="",D20=""),"",ROUND(Panel!$C$10*D20,2))</f>
        <v/>
      </c>
      <c r="H20" s="21">
        <f>IF(G20="","",IF(Panel!$C$11&gt;0,ROUND(G20/Panel!$C$11,2),0))</f>
        <v/>
      </c>
      <c r="I20" s="29">
        <f>IF(E20="","",E20+H20)</f>
        <v/>
      </c>
      <c r="J20" s="19" t="n"/>
    </row>
    <row r="21">
      <c r="B21" s="37" t="n"/>
      <c r="C21" s="19" t="n"/>
      <c r="D21" s="38" t="n"/>
      <c r="E21" s="21">
        <f>IF(OR(B21="",D21=""),"",ROUND(Panel!$C$15*D21/12,2))</f>
        <v/>
      </c>
      <c r="F21" s="21">
        <f>IF(E21="","",E21*12)</f>
        <v/>
      </c>
      <c r="G21" s="21">
        <f>IF(OR(B21="",D21=""),"",ROUND(Panel!$C$10*D21,2))</f>
        <v/>
      </c>
      <c r="H21" s="21">
        <f>IF(G21="","",IF(Panel!$C$11&gt;0,ROUND(G21/Panel!$C$11,2),0))</f>
        <v/>
      </c>
      <c r="I21" s="29">
        <f>IF(E21="","",E21+H21)</f>
        <v/>
      </c>
      <c r="J21" s="19" t="n"/>
    </row>
    <row r="22">
      <c r="B22" s="37" t="n"/>
      <c r="C22" s="19" t="n"/>
      <c r="D22" s="38" t="n"/>
      <c r="E22" s="21">
        <f>IF(OR(B22="",D22=""),"",ROUND(Panel!$C$15*D22/12,2))</f>
        <v/>
      </c>
      <c r="F22" s="21">
        <f>IF(E22="","",E22*12)</f>
        <v/>
      </c>
      <c r="G22" s="21">
        <f>IF(OR(B22="",D22=""),"",ROUND(Panel!$C$10*D22,2))</f>
        <v/>
      </c>
      <c r="H22" s="21">
        <f>IF(G22="","",IF(Panel!$C$11&gt;0,ROUND(G22/Panel!$C$11,2),0))</f>
        <v/>
      </c>
      <c r="I22" s="29">
        <f>IF(E22="","",E22+H22)</f>
        <v/>
      </c>
      <c r="J22" s="19" t="n"/>
    </row>
    <row r="23">
      <c r="B23" s="37" t="n"/>
      <c r="C23" s="19" t="n"/>
      <c r="D23" s="38" t="n"/>
      <c r="E23" s="21">
        <f>IF(OR(B23="",D23=""),"",ROUND(Panel!$C$15*D23/12,2))</f>
        <v/>
      </c>
      <c r="F23" s="21">
        <f>IF(E23="","",E23*12)</f>
        <v/>
      </c>
      <c r="G23" s="21">
        <f>IF(OR(B23="",D23=""),"",ROUND(Panel!$C$10*D23,2))</f>
        <v/>
      </c>
      <c r="H23" s="21">
        <f>IF(G23="","",IF(Panel!$C$11&gt;0,ROUND(G23/Panel!$C$11,2),0))</f>
        <v/>
      </c>
      <c r="I23" s="29">
        <f>IF(E23="","",E23+H23)</f>
        <v/>
      </c>
      <c r="J23" s="19" t="n"/>
    </row>
    <row r="24">
      <c r="B24" s="37" t="n"/>
      <c r="C24" s="19" t="n"/>
      <c r="D24" s="38" t="n"/>
      <c r="E24" s="21">
        <f>IF(OR(B24="",D24=""),"",ROUND(Panel!$C$15*D24/12,2))</f>
        <v/>
      </c>
      <c r="F24" s="21">
        <f>IF(E24="","",E24*12)</f>
        <v/>
      </c>
      <c r="G24" s="21">
        <f>IF(OR(B24="",D24=""),"",ROUND(Panel!$C$10*D24,2))</f>
        <v/>
      </c>
      <c r="H24" s="21">
        <f>IF(G24="","",IF(Panel!$C$11&gt;0,ROUND(G24/Panel!$C$11,2),0))</f>
        <v/>
      </c>
      <c r="I24" s="29">
        <f>IF(E24="","",E24+H24)</f>
        <v/>
      </c>
      <c r="J24" s="19" t="n"/>
    </row>
    <row r="25">
      <c r="B25" s="37" t="n"/>
      <c r="C25" s="19" t="n"/>
      <c r="D25" s="38" t="n"/>
      <c r="E25" s="21">
        <f>IF(OR(B25="",D25=""),"",ROUND(Panel!$C$15*D25/12,2))</f>
        <v/>
      </c>
      <c r="F25" s="21">
        <f>IF(E25="","",E25*12)</f>
        <v/>
      </c>
      <c r="G25" s="21">
        <f>IF(OR(B25="",D25=""),"",ROUND(Panel!$C$10*D25,2))</f>
        <v/>
      </c>
      <c r="H25" s="21">
        <f>IF(G25="","",IF(Panel!$C$11&gt;0,ROUND(G25/Panel!$C$11,2),0))</f>
        <v/>
      </c>
      <c r="I25" s="29">
        <f>IF(E25="","",E25+H25)</f>
        <v/>
      </c>
      <c r="J25" s="19" t="n"/>
    </row>
    <row r="26">
      <c r="B26" s="37" t="n"/>
      <c r="C26" s="19" t="n"/>
      <c r="D26" s="38" t="n"/>
      <c r="E26" s="21">
        <f>IF(OR(B26="",D26=""),"",ROUND(Panel!$C$15*D26/12,2))</f>
        <v/>
      </c>
      <c r="F26" s="21">
        <f>IF(E26="","",E26*12)</f>
        <v/>
      </c>
      <c r="G26" s="21">
        <f>IF(OR(B26="",D26=""),"",ROUND(Panel!$C$10*D26,2))</f>
        <v/>
      </c>
      <c r="H26" s="21">
        <f>IF(G26="","",IF(Panel!$C$11&gt;0,ROUND(G26/Panel!$C$11,2),0))</f>
        <v/>
      </c>
      <c r="I26" s="29">
        <f>IF(E26="","",E26+H26)</f>
        <v/>
      </c>
      <c r="J26" s="19" t="n"/>
    </row>
    <row r="27">
      <c r="B27" s="37" t="n"/>
      <c r="C27" s="19" t="n"/>
      <c r="D27" s="38" t="n"/>
      <c r="E27" s="21">
        <f>IF(OR(B27="",D27=""),"",ROUND(Panel!$C$15*D27/12,2))</f>
        <v/>
      </c>
      <c r="F27" s="21">
        <f>IF(E27="","",E27*12)</f>
        <v/>
      </c>
      <c r="G27" s="21">
        <f>IF(OR(B27="",D27=""),"",ROUND(Panel!$C$10*D27,2))</f>
        <v/>
      </c>
      <c r="H27" s="21">
        <f>IF(G27="","",IF(Panel!$C$11&gt;0,ROUND(G27/Panel!$C$11,2),0))</f>
        <v/>
      </c>
      <c r="I27" s="29">
        <f>IF(E27="","",E27+H27)</f>
        <v/>
      </c>
      <c r="J27" s="19" t="n"/>
    </row>
    <row r="28">
      <c r="B28" s="37" t="n"/>
      <c r="C28" s="19" t="n"/>
      <c r="D28" s="38" t="n"/>
      <c r="E28" s="21">
        <f>IF(OR(B28="",D28=""),"",ROUND(Panel!$C$15*D28/12,2))</f>
        <v/>
      </c>
      <c r="F28" s="21">
        <f>IF(E28="","",E28*12)</f>
        <v/>
      </c>
      <c r="G28" s="21">
        <f>IF(OR(B28="",D28=""),"",ROUND(Panel!$C$10*D28,2))</f>
        <v/>
      </c>
      <c r="H28" s="21">
        <f>IF(G28="","",IF(Panel!$C$11&gt;0,ROUND(G28/Panel!$C$11,2),0))</f>
        <v/>
      </c>
      <c r="I28" s="29">
        <f>IF(E28="","",E28+H28)</f>
        <v/>
      </c>
      <c r="J28" s="19" t="n"/>
    </row>
    <row r="29">
      <c r="B29" s="37" t="n"/>
      <c r="C29" s="19" t="n"/>
      <c r="D29" s="38" t="n"/>
      <c r="E29" s="21">
        <f>IF(OR(B29="",D29=""),"",ROUND(Panel!$C$15*D29/12,2))</f>
        <v/>
      </c>
      <c r="F29" s="21">
        <f>IF(E29="","",E29*12)</f>
        <v/>
      </c>
      <c r="G29" s="21">
        <f>IF(OR(B29="",D29=""),"",ROUND(Panel!$C$10*D29,2))</f>
        <v/>
      </c>
      <c r="H29" s="21">
        <f>IF(G29="","",IF(Panel!$C$11&gt;0,ROUND(G29/Panel!$C$11,2),0))</f>
        <v/>
      </c>
      <c r="I29" s="29">
        <f>IF(E29="","",E29+H29)</f>
        <v/>
      </c>
      <c r="J29" s="19" t="n"/>
    </row>
    <row r="30">
      <c r="B30" s="37" t="n"/>
      <c r="C30" s="19" t="n"/>
      <c r="D30" s="38" t="n"/>
      <c r="E30" s="21">
        <f>IF(OR(B30="",D30=""),"",ROUND(Panel!$C$15*D30/12,2))</f>
        <v/>
      </c>
      <c r="F30" s="21">
        <f>IF(E30="","",E30*12)</f>
        <v/>
      </c>
      <c r="G30" s="21">
        <f>IF(OR(B30="",D30=""),"",ROUND(Panel!$C$10*D30,2))</f>
        <v/>
      </c>
      <c r="H30" s="21">
        <f>IF(G30="","",IF(Panel!$C$11&gt;0,ROUND(G30/Panel!$C$11,2),0))</f>
        <v/>
      </c>
      <c r="I30" s="29">
        <f>IF(E30="","",E30+H30)</f>
        <v/>
      </c>
      <c r="J30" s="19" t="n"/>
    </row>
    <row r="31">
      <c r="B31" s="37" t="n"/>
      <c r="C31" s="19" t="n"/>
      <c r="D31" s="38" t="n"/>
      <c r="E31" s="21">
        <f>IF(OR(B31="",D31=""),"",ROUND(Panel!$C$15*D31/12,2))</f>
        <v/>
      </c>
      <c r="F31" s="21">
        <f>IF(E31="","",E31*12)</f>
        <v/>
      </c>
      <c r="G31" s="21">
        <f>IF(OR(B31="",D31=""),"",ROUND(Panel!$C$10*D31,2))</f>
        <v/>
      </c>
      <c r="H31" s="21">
        <f>IF(G31="","",IF(Panel!$C$11&gt;0,ROUND(G31/Panel!$C$11,2),0))</f>
        <v/>
      </c>
      <c r="I31" s="29">
        <f>IF(E31="","",E31+H31)</f>
        <v/>
      </c>
      <c r="J31" s="19" t="n"/>
    </row>
    <row r="32">
      <c r="B32" s="37" t="n"/>
      <c r="C32" s="19" t="n"/>
      <c r="D32" s="38" t="n"/>
      <c r="E32" s="21">
        <f>IF(OR(B32="",D32=""),"",ROUND(Panel!$C$15*D32/12,2))</f>
        <v/>
      </c>
      <c r="F32" s="21">
        <f>IF(E32="","",E32*12)</f>
        <v/>
      </c>
      <c r="G32" s="21">
        <f>IF(OR(B32="",D32=""),"",ROUND(Panel!$C$10*D32,2))</f>
        <v/>
      </c>
      <c r="H32" s="21">
        <f>IF(G32="","",IF(Panel!$C$11&gt;0,ROUND(G32/Panel!$C$11,2),0))</f>
        <v/>
      </c>
      <c r="I32" s="29">
        <f>IF(E32="","",E32+H32)</f>
        <v/>
      </c>
      <c r="J32" s="19" t="n"/>
    </row>
    <row r="33">
      <c r="B33" s="37" t="n"/>
      <c r="C33" s="19" t="n"/>
      <c r="D33" s="38" t="n"/>
      <c r="E33" s="21">
        <f>IF(OR(B33="",D33=""),"",ROUND(Panel!$C$15*D33/12,2))</f>
        <v/>
      </c>
      <c r="F33" s="21">
        <f>IF(E33="","",E33*12)</f>
        <v/>
      </c>
      <c r="G33" s="21">
        <f>IF(OR(B33="",D33=""),"",ROUND(Panel!$C$10*D33,2))</f>
        <v/>
      </c>
      <c r="H33" s="21">
        <f>IF(G33="","",IF(Panel!$C$11&gt;0,ROUND(G33/Panel!$C$11,2),0))</f>
        <v/>
      </c>
      <c r="I33" s="29">
        <f>IF(E33="","",E33+H33)</f>
        <v/>
      </c>
      <c r="J33" s="19" t="n"/>
    </row>
    <row r="34">
      <c r="B34" s="37" t="n"/>
      <c r="C34" s="19" t="n"/>
      <c r="D34" s="38" t="n"/>
      <c r="E34" s="21">
        <f>IF(OR(B34="",D34=""),"",ROUND(Panel!$C$15*D34/12,2))</f>
        <v/>
      </c>
      <c r="F34" s="21">
        <f>IF(E34="","",E34*12)</f>
        <v/>
      </c>
      <c r="G34" s="21">
        <f>IF(OR(B34="",D34=""),"",ROUND(Panel!$C$10*D34,2))</f>
        <v/>
      </c>
      <c r="H34" s="21">
        <f>IF(G34="","",IF(Panel!$C$11&gt;0,ROUND(G34/Panel!$C$11,2),0))</f>
        <v/>
      </c>
      <c r="I34" s="29">
        <f>IF(E34="","",E34+H34)</f>
        <v/>
      </c>
      <c r="J34" s="19" t="n"/>
    </row>
    <row r="35">
      <c r="B35" s="37" t="n"/>
      <c r="C35" s="19" t="n"/>
      <c r="D35" s="38" t="n"/>
      <c r="E35" s="21">
        <f>IF(OR(B35="",D35=""),"",ROUND(Panel!$C$15*D35/12,2))</f>
        <v/>
      </c>
      <c r="F35" s="21">
        <f>IF(E35="","",E35*12)</f>
        <v/>
      </c>
      <c r="G35" s="21">
        <f>IF(OR(B35="",D35=""),"",ROUND(Panel!$C$10*D35,2))</f>
        <v/>
      </c>
      <c r="H35" s="21">
        <f>IF(G35="","",IF(Panel!$C$11&gt;0,ROUND(G35/Panel!$C$11,2),0))</f>
        <v/>
      </c>
      <c r="I35" s="29">
        <f>IF(E35="","",E35+H35)</f>
        <v/>
      </c>
      <c r="J35" s="19" t="n"/>
    </row>
    <row r="36">
      <c r="B36" s="37" t="n"/>
      <c r="C36" s="19" t="n"/>
      <c r="D36" s="38" t="n"/>
      <c r="E36" s="21">
        <f>IF(OR(B36="",D36=""),"",ROUND(Panel!$C$15*D36/12,2))</f>
        <v/>
      </c>
      <c r="F36" s="21">
        <f>IF(E36="","",E36*12)</f>
        <v/>
      </c>
      <c r="G36" s="21">
        <f>IF(OR(B36="",D36=""),"",ROUND(Panel!$C$10*D36,2))</f>
        <v/>
      </c>
      <c r="H36" s="21">
        <f>IF(G36="","",IF(Panel!$C$11&gt;0,ROUND(G36/Panel!$C$11,2),0))</f>
        <v/>
      </c>
      <c r="I36" s="29">
        <f>IF(E36="","",E36+H36)</f>
        <v/>
      </c>
      <c r="J36" s="19" t="n"/>
    </row>
    <row r="37">
      <c r="B37" s="37" t="n"/>
      <c r="C37" s="19" t="n"/>
      <c r="D37" s="38" t="n"/>
      <c r="E37" s="21">
        <f>IF(OR(B37="",D37=""),"",ROUND(Panel!$C$15*D37/12,2))</f>
        <v/>
      </c>
      <c r="F37" s="21">
        <f>IF(E37="","",E37*12)</f>
        <v/>
      </c>
      <c r="G37" s="21">
        <f>IF(OR(B37="",D37=""),"",ROUND(Panel!$C$10*D37,2))</f>
        <v/>
      </c>
      <c r="H37" s="21">
        <f>IF(G37="","",IF(Panel!$C$11&gt;0,ROUND(G37/Panel!$C$11,2),0))</f>
        <v/>
      </c>
      <c r="I37" s="29">
        <f>IF(E37="","",E37+H37)</f>
        <v/>
      </c>
      <c r="J37" s="19" t="n"/>
    </row>
    <row r="38">
      <c r="B38" s="37" t="n"/>
      <c r="C38" s="19" t="n"/>
      <c r="D38" s="38" t="n"/>
      <c r="E38" s="21">
        <f>IF(OR(B38="",D38=""),"",ROUND(Panel!$C$15*D38/12,2))</f>
        <v/>
      </c>
      <c r="F38" s="21">
        <f>IF(E38="","",E38*12)</f>
        <v/>
      </c>
      <c r="G38" s="21">
        <f>IF(OR(B38="",D38=""),"",ROUND(Panel!$C$10*D38,2))</f>
        <v/>
      </c>
      <c r="H38" s="21">
        <f>IF(G38="","",IF(Panel!$C$11&gt;0,ROUND(G38/Panel!$C$11,2),0))</f>
        <v/>
      </c>
      <c r="I38" s="29">
        <f>IF(E38="","",E38+H38)</f>
        <v/>
      </c>
      <c r="J38" s="19" t="n"/>
    </row>
    <row r="39">
      <c r="B39" s="37" t="n"/>
      <c r="C39" s="19" t="n"/>
      <c r="D39" s="38" t="n"/>
      <c r="E39" s="21">
        <f>IF(OR(B39="",D39=""),"",ROUND(Panel!$C$15*D39/12,2))</f>
        <v/>
      </c>
      <c r="F39" s="21">
        <f>IF(E39="","",E39*12)</f>
        <v/>
      </c>
      <c r="G39" s="21">
        <f>IF(OR(B39="",D39=""),"",ROUND(Panel!$C$10*D39,2))</f>
        <v/>
      </c>
      <c r="H39" s="21">
        <f>IF(G39="","",IF(Panel!$C$11&gt;0,ROUND(G39/Panel!$C$11,2),0))</f>
        <v/>
      </c>
      <c r="I39" s="29">
        <f>IF(E39="","",E39+H39)</f>
        <v/>
      </c>
      <c r="J39" s="19" t="n"/>
    </row>
    <row r="40">
      <c r="B40" s="37" t="n"/>
      <c r="C40" s="19" t="n"/>
      <c r="D40" s="38" t="n"/>
      <c r="E40" s="21">
        <f>IF(OR(B40="",D40=""),"",ROUND(Panel!$C$15*D40/12,2))</f>
        <v/>
      </c>
      <c r="F40" s="21">
        <f>IF(E40="","",E40*12)</f>
        <v/>
      </c>
      <c r="G40" s="21">
        <f>IF(OR(B40="",D40=""),"",ROUND(Panel!$C$10*D40,2))</f>
        <v/>
      </c>
      <c r="H40" s="21">
        <f>IF(G40="","",IF(Panel!$C$11&gt;0,ROUND(G40/Panel!$C$11,2),0))</f>
        <v/>
      </c>
      <c r="I40" s="29">
        <f>IF(E40="","",E40+H40)</f>
        <v/>
      </c>
      <c r="J40" s="19" t="n"/>
    </row>
    <row r="41">
      <c r="B41" s="37" t="n"/>
      <c r="C41" s="19" t="n"/>
      <c r="D41" s="38" t="n"/>
      <c r="E41" s="21">
        <f>IF(OR(B41="",D41=""),"",ROUND(Panel!$C$15*D41/12,2))</f>
        <v/>
      </c>
      <c r="F41" s="21">
        <f>IF(E41="","",E41*12)</f>
        <v/>
      </c>
      <c r="G41" s="21">
        <f>IF(OR(B41="",D41=""),"",ROUND(Panel!$C$10*D41,2))</f>
        <v/>
      </c>
      <c r="H41" s="21">
        <f>IF(G41="","",IF(Panel!$C$11&gt;0,ROUND(G41/Panel!$C$11,2),0))</f>
        <v/>
      </c>
      <c r="I41" s="29">
        <f>IF(E41="","",E41+H41)</f>
        <v/>
      </c>
      <c r="J41" s="19" t="n"/>
    </row>
    <row r="42">
      <c r="B42" s="37" t="n"/>
      <c r="C42" s="19" t="n"/>
      <c r="D42" s="38" t="n"/>
      <c r="E42" s="21">
        <f>IF(OR(B42="",D42=""),"",ROUND(Panel!$C$15*D42/12,2))</f>
        <v/>
      </c>
      <c r="F42" s="21">
        <f>IF(E42="","",E42*12)</f>
        <v/>
      </c>
      <c r="G42" s="21">
        <f>IF(OR(B42="",D42=""),"",ROUND(Panel!$C$10*D42,2))</f>
        <v/>
      </c>
      <c r="H42" s="21">
        <f>IF(G42="","",IF(Panel!$C$11&gt;0,ROUND(G42/Panel!$C$11,2),0))</f>
        <v/>
      </c>
      <c r="I42" s="29">
        <f>IF(E42="","",E42+H42)</f>
        <v/>
      </c>
      <c r="J42" s="19" t="n"/>
    </row>
    <row r="43">
      <c r="B43" s="37" t="n"/>
      <c r="C43" s="19" t="n"/>
      <c r="D43" s="38" t="n"/>
      <c r="E43" s="21">
        <f>IF(OR(B43="",D43=""),"",ROUND(Panel!$C$15*D43/12,2))</f>
        <v/>
      </c>
      <c r="F43" s="21">
        <f>IF(E43="","",E43*12)</f>
        <v/>
      </c>
      <c r="G43" s="21">
        <f>IF(OR(B43="",D43=""),"",ROUND(Panel!$C$10*D43,2))</f>
        <v/>
      </c>
      <c r="H43" s="21">
        <f>IF(G43="","",IF(Panel!$C$11&gt;0,ROUND(G43/Panel!$C$11,2),0))</f>
        <v/>
      </c>
      <c r="I43" s="29">
        <f>IF(E43="","",E43+H43)</f>
        <v/>
      </c>
      <c r="J43" s="19" t="n"/>
    </row>
    <row r="44">
      <c r="B44" s="37" t="n"/>
      <c r="C44" s="19" t="n"/>
      <c r="D44" s="38" t="n"/>
      <c r="E44" s="21">
        <f>IF(OR(B44="",D44=""),"",ROUND(Panel!$C$15*D44/12,2))</f>
        <v/>
      </c>
      <c r="F44" s="21">
        <f>IF(E44="","",E44*12)</f>
        <v/>
      </c>
      <c r="G44" s="21">
        <f>IF(OR(B44="",D44=""),"",ROUND(Panel!$C$10*D44,2))</f>
        <v/>
      </c>
      <c r="H44" s="21">
        <f>IF(G44="","",IF(Panel!$C$11&gt;0,ROUND(G44/Panel!$C$11,2),0))</f>
        <v/>
      </c>
      <c r="I44" s="29">
        <f>IF(E44="","",E44+H44)</f>
        <v/>
      </c>
      <c r="J44" s="19" t="n"/>
    </row>
    <row r="45">
      <c r="B45" s="37" t="n"/>
      <c r="C45" s="19" t="n"/>
      <c r="D45" s="38" t="n"/>
      <c r="E45" s="21">
        <f>IF(OR(B45="",D45=""),"",ROUND(Panel!$C$15*D45/12,2))</f>
        <v/>
      </c>
      <c r="F45" s="21">
        <f>IF(E45="","",E45*12)</f>
        <v/>
      </c>
      <c r="G45" s="21">
        <f>IF(OR(B45="",D45=""),"",ROUND(Panel!$C$10*D45,2))</f>
        <v/>
      </c>
      <c r="H45" s="21">
        <f>IF(G45="","",IF(Panel!$C$11&gt;0,ROUND(G45/Panel!$C$11,2),0))</f>
        <v/>
      </c>
      <c r="I45" s="29">
        <f>IF(E45="","",E45+H45)</f>
        <v/>
      </c>
      <c r="J45" s="19" t="n"/>
    </row>
    <row r="46">
      <c r="B46" s="37" t="n"/>
      <c r="C46" s="19" t="n"/>
      <c r="D46" s="38" t="n"/>
      <c r="E46" s="21">
        <f>IF(OR(B46="",D46=""),"",ROUND(Panel!$C$15*D46/12,2))</f>
        <v/>
      </c>
      <c r="F46" s="21">
        <f>IF(E46="","",E46*12)</f>
        <v/>
      </c>
      <c r="G46" s="21">
        <f>IF(OR(B46="",D46=""),"",ROUND(Panel!$C$10*D46,2))</f>
        <v/>
      </c>
      <c r="H46" s="21">
        <f>IF(G46="","",IF(Panel!$C$11&gt;0,ROUND(G46/Panel!$C$11,2),0))</f>
        <v/>
      </c>
      <c r="I46" s="29">
        <f>IF(E46="","",E46+H46)</f>
        <v/>
      </c>
      <c r="J46" s="19" t="n"/>
    </row>
    <row r="47">
      <c r="B47" s="25" t="inlineStr">
        <is>
          <t>Total</t>
        </is>
      </c>
      <c r="C47" s="28" t="n"/>
      <c r="D47" s="39">
        <f>SUM(D7:D46)</f>
        <v/>
      </c>
      <c r="E47" s="26">
        <f>SUM(E7:E46)</f>
        <v/>
      </c>
      <c r="F47" s="26">
        <f>SUM(F7:F46)</f>
        <v/>
      </c>
      <c r="G47" s="26">
        <f>SUM(G7:G46)</f>
        <v/>
      </c>
      <c r="H47" s="26">
        <f>SUM(H7:H46)</f>
        <v/>
      </c>
      <c r="I47" s="26">
        <f>SUM(I7:I46)</f>
        <v/>
      </c>
      <c r="J47" s="28" t="n"/>
    </row>
    <row r="49">
      <c r="B49" s="7" t="inlineStr">
        <is>
          <t>El coeficiente se escribe como porcentaje (8,2% = 0,082). Los coeficientes reales figuran en el título constitutivo o en los estatutos de tu comunidad.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4">
    <mergeCell ref="B4:C4"/>
    <mergeCell ref="E4:G4"/>
    <mergeCell ref="B3:J3"/>
    <mergeCell ref="B2:J2"/>
  </mergeCells>
  <conditionalFormatting sqref="E4">
    <cfRule type="expression" priority="1" dxfId="2">
      <formula>$E$4="Correcto"</formula>
    </cfRule>
    <cfRule type="expression" priority="2" dxfId="0">
      <formula>LEFT($E$4,6)="Revisa"</formula>
    </cfRule>
  </conditionalFormatting>
  <conditionalFormatting sqref="B7:B46">
    <cfRule type="expression" priority="3" dxfId="3">
      <formula>MOD(ROW(),2)=0</formula>
    </cfRule>
  </conditionalFormatting>
  <dataValidations count="1">
    <dataValidation sqref="D7:D46" showDropDown="0" showInputMessage="0" showErrorMessage="0" allowBlank="1" errorTitle="Coeficiente no válido" error="Escribe el coeficiente como porcentaje entre 0% y 100% (por ejemplo 8,2%)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V49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1" customWidth="1" min="2" max="2"/>
    <col width="20" customWidth="1" min="3" max="3"/>
    <col width="12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9.5" customWidth="1" min="14" max="14"/>
    <col width="9.5" customWidth="1" min="15" max="15"/>
    <col width="9.5" customWidth="1" min="16" max="16"/>
    <col width="13" customWidth="1" min="17" max="17"/>
    <col width="13" customWidth="1" min="18" max="18"/>
    <col width="13" customWidth="1" min="19" max="19"/>
    <col width="12" customWidth="1" min="20" max="20"/>
    <col width="14" customWidth="1" min="21" max="21"/>
    <col width="8" customWidth="1" min="22" max="22"/>
  </cols>
  <sheetData>
    <row r="2" ht="34" customHeight="1">
      <c r="B2" s="1" t="inlineStr">
        <is>
          <t>Control de cobros mes a mes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</row>
    <row r="3">
      <c r="B3" s="3" t="inlineStr">
        <is>
          <t>Anota en cada mes el importe que ha ingresado cada vivienda. La deuda y el estado de cada vecino se calculan solos.</t>
        </is>
      </c>
    </row>
    <row r="4">
      <c r="B4" s="5" t="inlineStr">
        <is>
          <t>Mes de corte:</t>
        </is>
      </c>
      <c r="D4" s="40">
        <f>INDEX(Panel!$B$39:$B$50,Panel!$C$7)</f>
        <v/>
      </c>
      <c r="E4" s="7" t="inlineStr">
        <is>
          <t>Se cambia en Panel &gt; celda C7. La deuda se calcula hasta ese mes.</t>
        </is>
      </c>
    </row>
    <row r="6" ht="54" customHeight="1">
      <c r="B6" s="18" t="inlineStr">
        <is>
          <t>Vivienda</t>
        </is>
      </c>
      <c r="C6" s="18" t="inlineStr">
        <is>
          <t>Propietario/a</t>
        </is>
      </c>
      <c r="D6" s="18" t="inlineStr">
        <is>
          <t>Cuota ordinaria mensual</t>
        </is>
      </c>
      <c r="E6" s="18" t="inlineStr">
        <is>
          <t>Ene</t>
        </is>
      </c>
      <c r="F6" s="18" t="inlineStr">
        <is>
          <t>Feb</t>
        </is>
      </c>
      <c r="G6" s="18" t="inlineStr">
        <is>
          <t>Mar</t>
        </is>
      </c>
      <c r="H6" s="18" t="inlineStr">
        <is>
          <t>Abr</t>
        </is>
      </c>
      <c r="I6" s="18" t="inlineStr">
        <is>
          <t>May</t>
        </is>
      </c>
      <c r="J6" s="18" t="inlineStr">
        <is>
          <t>Jun</t>
        </is>
      </c>
      <c r="K6" s="18" t="inlineStr">
        <is>
          <t>Jul</t>
        </is>
      </c>
      <c r="L6" s="18" t="inlineStr">
        <is>
          <t>Ago</t>
        </is>
      </c>
      <c r="M6" s="18" t="inlineStr">
        <is>
          <t>Sep</t>
        </is>
      </c>
      <c r="N6" s="18" t="inlineStr">
        <is>
          <t>Oct</t>
        </is>
      </c>
      <c r="O6" s="18" t="inlineStr">
        <is>
          <t>Nov</t>
        </is>
      </c>
      <c r="P6" s="18" t="inlineStr">
        <is>
          <t>Dic</t>
        </is>
      </c>
      <c r="Q6" s="18" t="inlineStr">
        <is>
          <t>Total pagado</t>
        </is>
      </c>
      <c r="R6" s="18" t="inlineStr">
        <is>
          <t>Debido a la fecha de corte</t>
        </is>
      </c>
      <c r="S6" s="18" t="inlineStr">
        <is>
          <t>Pendiente</t>
        </is>
      </c>
      <c r="T6" s="18" t="inlineStr">
        <is>
          <t>Cuotas ordinarias adeudadas</t>
        </is>
      </c>
      <c r="U6" s="18" t="inlineStr">
        <is>
          <t>Estado</t>
        </is>
      </c>
      <c r="V6" s="18" t="inlineStr">
        <is>
          <t>Clave</t>
        </is>
      </c>
    </row>
    <row r="7">
      <c r="B7" s="40">
        <f>IF(Vecinos!B7="","",Vecinos!B7)</f>
        <v/>
      </c>
      <c r="C7" s="31">
        <f>IF(Vecinos!B7="","",Vecinos!C7&amp;"")</f>
        <v/>
      </c>
      <c r="D7" s="21">
        <f>IF(Vecinos!E7="","",Vecinos!E7)</f>
        <v/>
      </c>
      <c r="E7" s="41" t="n">
        <v>128.43</v>
      </c>
      <c r="F7" s="41" t="n">
        <v>128.43</v>
      </c>
      <c r="G7" s="41" t="n">
        <v>128.43</v>
      </c>
      <c r="H7" s="41" t="n">
        <v>226.83</v>
      </c>
      <c r="I7" s="41" t="n">
        <v>226.83</v>
      </c>
      <c r="J7" s="41" t="n">
        <v>226.83</v>
      </c>
      <c r="K7" s="41" t="n">
        <v>226.83</v>
      </c>
      <c r="L7" s="41" t="n">
        <v>128.43</v>
      </c>
      <c r="M7" s="41" t="n">
        <v>128.43</v>
      </c>
      <c r="N7" s="41" t="n"/>
      <c r="O7" s="41" t="n"/>
      <c r="P7" s="41" t="n"/>
      <c r="Q7" s="21">
        <f>IF(B7="","",SUM(E7:P7))</f>
        <v/>
      </c>
      <c r="R7" s="21">
        <f>IF(OR(B7="",D7=""),"",ROUND(D7*Panel!$C$7+Vecinos!H7*MAX(0,MIN(Panel!$C$11,Panel!$C$7-Panel!$C$12+1)),2))</f>
        <v/>
      </c>
      <c r="S7" s="29">
        <f>IF(R7="","",MAX(0,ROUND(R7-Q7,2)))</f>
        <v/>
      </c>
      <c r="T7" s="32">
        <f>IF(OR(S7="",D7="",D7=0),"",ROUND(S7/D7,1))</f>
        <v/>
      </c>
      <c r="U7" s="23">
        <f>IF(S7="","",IF(S7&lt;0.005,"Al corriente",IF(S7&gt;=Panel!$C$13*D7-0.005,"Moroso","Con retraso")))</f>
        <v/>
      </c>
      <c r="V7" s="42">
        <f>IF(S7="","",IF(S7&gt;=0.005,S7+ROW()/10000000,""))</f>
        <v/>
      </c>
    </row>
    <row r="8">
      <c r="B8" s="40">
        <f>IF(Vecinos!B8="","",Vecinos!B8)</f>
        <v/>
      </c>
      <c r="C8" s="31">
        <f>IF(Vecinos!B8="","",Vecinos!C8&amp;"")</f>
        <v/>
      </c>
      <c r="D8" s="21">
        <f>IF(Vecinos!E8="","",Vecinos!E8)</f>
        <v/>
      </c>
      <c r="E8" s="41" t="n">
        <v>122.17</v>
      </c>
      <c r="F8" s="41" t="n">
        <v>122.17</v>
      </c>
      <c r="G8" s="41" t="n">
        <v>122.17</v>
      </c>
      <c r="H8" s="41" t="n">
        <v>215.77</v>
      </c>
      <c r="I8" s="41" t="n">
        <v>215.77</v>
      </c>
      <c r="J8" s="41" t="n">
        <v>215.77</v>
      </c>
      <c r="K8" s="41" t="n">
        <v>215.77</v>
      </c>
      <c r="L8" s="41" t="n">
        <v>122.17</v>
      </c>
      <c r="M8" s="41" t="n">
        <v>122.17</v>
      </c>
      <c r="N8" s="41" t="n"/>
      <c r="O8" s="41" t="n"/>
      <c r="P8" s="41" t="n"/>
      <c r="Q8" s="21">
        <f>IF(B8="","",SUM(E8:P8))</f>
        <v/>
      </c>
      <c r="R8" s="21">
        <f>IF(OR(B8="",D8=""),"",ROUND(D8*Panel!$C$7+Vecinos!H8*MAX(0,MIN(Panel!$C$11,Panel!$C$7-Panel!$C$12+1)),2))</f>
        <v/>
      </c>
      <c r="S8" s="29">
        <f>IF(R8="","",MAX(0,ROUND(R8-Q8,2)))</f>
        <v/>
      </c>
      <c r="T8" s="32">
        <f>IF(OR(S8="",D8="",D8=0),"",ROUND(S8/D8,1))</f>
        <v/>
      </c>
      <c r="U8" s="23">
        <f>IF(S8="","",IF(S8&lt;0.005,"Al corriente",IF(S8&gt;=Panel!$C$13*D8-0.005,"Moroso","Con retraso")))</f>
        <v/>
      </c>
      <c r="V8" s="42">
        <f>IF(S8="","",IF(S8&gt;=0.005,S8+ROW()/10000000,""))</f>
        <v/>
      </c>
    </row>
    <row r="9">
      <c r="B9" s="40">
        <f>IF(Vecinos!B9="","",Vecinos!B9)</f>
        <v/>
      </c>
      <c r="C9" s="31">
        <f>IF(Vecinos!B9="","",Vecinos!C9&amp;"")</f>
        <v/>
      </c>
      <c r="D9" s="21">
        <f>IF(Vecinos!E9="","",Vecinos!E9)</f>
        <v/>
      </c>
      <c r="E9" s="41" t="n">
        <v>131.57</v>
      </c>
      <c r="F9" s="41" t="n">
        <v>131.57</v>
      </c>
      <c r="G9" s="41" t="n">
        <v>131.57</v>
      </c>
      <c r="H9" s="41" t="n">
        <v>232.37</v>
      </c>
      <c r="I9" s="41" t="n">
        <v>232.37</v>
      </c>
      <c r="J9" s="41" t="n">
        <v>232.37</v>
      </c>
      <c r="K9" s="41" t="n">
        <v>232.37</v>
      </c>
      <c r="L9" s="41" t="n">
        <v>131.57</v>
      </c>
      <c r="M9" s="41" t="n"/>
      <c r="N9" s="41" t="n"/>
      <c r="O9" s="41" t="n"/>
      <c r="P9" s="41" t="n"/>
      <c r="Q9" s="21">
        <f>IF(B9="","",SUM(E9:P9))</f>
        <v/>
      </c>
      <c r="R9" s="21">
        <f>IF(OR(B9="",D9=""),"",ROUND(D9*Panel!$C$7+Vecinos!H9*MAX(0,MIN(Panel!$C$11,Panel!$C$7-Panel!$C$12+1)),2))</f>
        <v/>
      </c>
      <c r="S9" s="29">
        <f>IF(R9="","",MAX(0,ROUND(R9-Q9,2)))</f>
        <v/>
      </c>
      <c r="T9" s="32">
        <f>IF(OR(S9="",D9="",D9=0),"",ROUND(S9/D9,1))</f>
        <v/>
      </c>
      <c r="U9" s="23">
        <f>IF(S9="","",IF(S9&lt;0.005,"Al corriente",IF(S9&gt;=Panel!$C$13*D9-0.005,"Moroso","Con retraso")))</f>
        <v/>
      </c>
      <c r="V9" s="42">
        <f>IF(S9="","",IF(S9&gt;=0.005,S9+ROW()/10000000,""))</f>
        <v/>
      </c>
    </row>
    <row r="10">
      <c r="B10" s="40">
        <f>IF(Vecinos!B10="","",Vecinos!B10)</f>
        <v/>
      </c>
      <c r="C10" s="31">
        <f>IF(Vecinos!B10="","",Vecinos!C10&amp;"")</f>
        <v/>
      </c>
      <c r="D10" s="21">
        <f>IF(Vecinos!E10="","",Vecinos!E10)</f>
        <v/>
      </c>
      <c r="E10" s="41" t="n">
        <v>128.43</v>
      </c>
      <c r="F10" s="41" t="n">
        <v>128.43</v>
      </c>
      <c r="G10" s="41" t="n">
        <v>128.43</v>
      </c>
      <c r="H10" s="41" t="n">
        <v>226.83</v>
      </c>
      <c r="I10" s="41" t="n">
        <v>226.83</v>
      </c>
      <c r="J10" s="41" t="n">
        <v>226.83</v>
      </c>
      <c r="K10" s="41" t="n">
        <v>226.83</v>
      </c>
      <c r="L10" s="41" t="n">
        <v>128.43</v>
      </c>
      <c r="M10" s="41" t="n">
        <v>128.43</v>
      </c>
      <c r="N10" s="41" t="n"/>
      <c r="O10" s="41" t="n"/>
      <c r="P10" s="41" t="n"/>
      <c r="Q10" s="21">
        <f>IF(B10="","",SUM(E10:P10))</f>
        <v/>
      </c>
      <c r="R10" s="21">
        <f>IF(OR(B10="",D10=""),"",ROUND(D10*Panel!$C$7+Vecinos!H10*MAX(0,MIN(Panel!$C$11,Panel!$C$7-Panel!$C$12+1)),2))</f>
        <v/>
      </c>
      <c r="S10" s="29">
        <f>IF(R10="","",MAX(0,ROUND(R10-Q10,2)))</f>
        <v/>
      </c>
      <c r="T10" s="32">
        <f>IF(OR(S10="",D10="",D10=0),"",ROUND(S10/D10,1))</f>
        <v/>
      </c>
      <c r="U10" s="23">
        <f>IF(S10="","",IF(S10&lt;0.005,"Al corriente",IF(S10&gt;=Panel!$C$13*D10-0.005,"Moroso","Con retraso")))</f>
        <v/>
      </c>
      <c r="V10" s="42">
        <f>IF(S10="","",IF(S10&gt;=0.005,S10+ROW()/10000000,""))</f>
        <v/>
      </c>
    </row>
    <row r="11">
      <c r="B11" s="40">
        <f>IF(Vecinos!B11="","",Vecinos!B11)</f>
        <v/>
      </c>
      <c r="C11" s="31">
        <f>IF(Vecinos!B11="","",Vecinos!C11&amp;"")</f>
        <v/>
      </c>
      <c r="D11" s="21">
        <f>IF(Vecinos!E11="","",Vecinos!E11)</f>
        <v/>
      </c>
      <c r="E11" s="41" t="n">
        <v>122.17</v>
      </c>
      <c r="F11" s="41" t="n">
        <v>122.17</v>
      </c>
      <c r="G11" s="41" t="n">
        <v>122.17</v>
      </c>
      <c r="H11" s="41" t="n">
        <v>215.77</v>
      </c>
      <c r="I11" s="41" t="n">
        <v>215.77</v>
      </c>
      <c r="J11" s="41" t="n"/>
      <c r="K11" s="41" t="n"/>
      <c r="L11" s="41" t="n"/>
      <c r="M11" s="41" t="n"/>
      <c r="N11" s="41" t="n"/>
      <c r="O11" s="41" t="n"/>
      <c r="P11" s="41" t="n"/>
      <c r="Q11" s="21">
        <f>IF(B11="","",SUM(E11:P11))</f>
        <v/>
      </c>
      <c r="R11" s="21">
        <f>IF(OR(B11="",D11=""),"",ROUND(D11*Panel!$C$7+Vecinos!H11*MAX(0,MIN(Panel!$C$11,Panel!$C$7-Panel!$C$12+1)),2))</f>
        <v/>
      </c>
      <c r="S11" s="29">
        <f>IF(R11="","",MAX(0,ROUND(R11-Q11,2)))</f>
        <v/>
      </c>
      <c r="T11" s="32">
        <f>IF(OR(S11="",D11="",D11=0),"",ROUND(S11/D11,1))</f>
        <v/>
      </c>
      <c r="U11" s="23">
        <f>IF(S11="","",IF(S11&lt;0.005,"Al corriente",IF(S11&gt;=Panel!$C$13*D11-0.005,"Moroso","Con retraso")))</f>
        <v/>
      </c>
      <c r="V11" s="42">
        <f>IF(S11="","",IF(S11&gt;=0.005,S11+ROW()/10000000,""))</f>
        <v/>
      </c>
    </row>
    <row r="12">
      <c r="B12" s="40">
        <f>IF(Vecinos!B12="","",Vecinos!B12)</f>
        <v/>
      </c>
      <c r="C12" s="31">
        <f>IF(Vecinos!B12="","",Vecinos!C12&amp;"")</f>
        <v/>
      </c>
      <c r="D12" s="21">
        <f>IF(Vecinos!E12="","",Vecinos!E12)</f>
        <v/>
      </c>
      <c r="E12" s="41" t="n">
        <v>131.57</v>
      </c>
      <c r="F12" s="41" t="n">
        <v>131.57</v>
      </c>
      <c r="G12" s="41" t="n">
        <v>131.57</v>
      </c>
      <c r="H12" s="41" t="n">
        <v>232.37</v>
      </c>
      <c r="I12" s="41" t="n">
        <v>232.37</v>
      </c>
      <c r="J12" s="41" t="n">
        <v>232.37</v>
      </c>
      <c r="K12" s="41" t="n">
        <v>232.37</v>
      </c>
      <c r="L12" s="41" t="n">
        <v>131.57</v>
      </c>
      <c r="M12" s="41" t="n">
        <v>131.57</v>
      </c>
      <c r="N12" s="41" t="n"/>
      <c r="O12" s="41" t="n"/>
      <c r="P12" s="41" t="n"/>
      <c r="Q12" s="21">
        <f>IF(B12="","",SUM(E12:P12))</f>
        <v/>
      </c>
      <c r="R12" s="21">
        <f>IF(OR(B12="",D12=""),"",ROUND(D12*Panel!$C$7+Vecinos!H12*MAX(0,MIN(Panel!$C$11,Panel!$C$7-Panel!$C$12+1)),2))</f>
        <v/>
      </c>
      <c r="S12" s="29">
        <f>IF(R12="","",MAX(0,ROUND(R12-Q12,2)))</f>
        <v/>
      </c>
      <c r="T12" s="32">
        <f>IF(OR(S12="",D12="",D12=0),"",ROUND(S12/D12,1))</f>
        <v/>
      </c>
      <c r="U12" s="23">
        <f>IF(S12="","",IF(S12&lt;0.005,"Al corriente",IF(S12&gt;=Panel!$C$13*D12-0.005,"Moroso","Con retraso")))</f>
        <v/>
      </c>
      <c r="V12" s="42">
        <f>IF(S12="","",IF(S12&gt;=0.005,S12+ROW()/10000000,""))</f>
        <v/>
      </c>
    </row>
    <row r="13">
      <c r="B13" s="40">
        <f>IF(Vecinos!B13="","",Vecinos!B13)</f>
        <v/>
      </c>
      <c r="C13" s="31">
        <f>IF(Vecinos!B13="","",Vecinos!C13&amp;"")</f>
        <v/>
      </c>
      <c r="D13" s="21">
        <f>IF(Vecinos!E13="","",Vecinos!E13)</f>
        <v/>
      </c>
      <c r="E13" s="41" t="n">
        <v>128.43</v>
      </c>
      <c r="F13" s="41" t="n">
        <v>128.43</v>
      </c>
      <c r="G13" s="41" t="n">
        <v>128.43</v>
      </c>
      <c r="H13" s="41" t="n">
        <v>226.83</v>
      </c>
      <c r="I13" s="41" t="n">
        <v>226.83</v>
      </c>
      <c r="J13" s="41" t="n">
        <v>226.83</v>
      </c>
      <c r="K13" s="41" t="n">
        <v>226.83</v>
      </c>
      <c r="L13" s="41" t="n">
        <v>128.43</v>
      </c>
      <c r="M13" s="41" t="n">
        <v>128.43</v>
      </c>
      <c r="N13" s="41" t="n"/>
      <c r="O13" s="41" t="n"/>
      <c r="P13" s="41" t="n"/>
      <c r="Q13" s="21">
        <f>IF(B13="","",SUM(E13:P13))</f>
        <v/>
      </c>
      <c r="R13" s="21">
        <f>IF(OR(B13="",D13=""),"",ROUND(D13*Panel!$C$7+Vecinos!H13*MAX(0,MIN(Panel!$C$11,Panel!$C$7-Panel!$C$12+1)),2))</f>
        <v/>
      </c>
      <c r="S13" s="29">
        <f>IF(R13="","",MAX(0,ROUND(R13-Q13,2)))</f>
        <v/>
      </c>
      <c r="T13" s="32">
        <f>IF(OR(S13="",D13="",D13=0),"",ROUND(S13/D13,1))</f>
        <v/>
      </c>
      <c r="U13" s="23">
        <f>IF(S13="","",IF(S13&lt;0.005,"Al corriente",IF(S13&gt;=Panel!$C$13*D13-0.005,"Moroso","Con retraso")))</f>
        <v/>
      </c>
      <c r="V13" s="42">
        <f>IF(S13="","",IF(S13&gt;=0.005,S13+ROW()/10000000,""))</f>
        <v/>
      </c>
    </row>
    <row r="14">
      <c r="B14" s="40">
        <f>IF(Vecinos!B14="","",Vecinos!B14)</f>
        <v/>
      </c>
      <c r="C14" s="31">
        <f>IF(Vecinos!B14="","",Vecinos!C14&amp;"")</f>
        <v/>
      </c>
      <c r="D14" s="21">
        <f>IF(Vecinos!E14="","",Vecinos!E14)</f>
        <v/>
      </c>
      <c r="E14" s="41" t="n">
        <v>122.17</v>
      </c>
      <c r="F14" s="41" t="n">
        <v>122.17</v>
      </c>
      <c r="G14" s="41" t="n">
        <v>122.17</v>
      </c>
      <c r="H14" s="41" t="n">
        <v>215.77</v>
      </c>
      <c r="I14" s="41" t="n">
        <v>215.77</v>
      </c>
      <c r="J14" s="41" t="n">
        <v>175.77</v>
      </c>
      <c r="K14" s="41" t="n">
        <v>215.77</v>
      </c>
      <c r="L14" s="41" t="n">
        <v>122.17</v>
      </c>
      <c r="M14" s="41" t="n">
        <v>122.17</v>
      </c>
      <c r="N14" s="41" t="n"/>
      <c r="O14" s="41" t="n"/>
      <c r="P14" s="41" t="n"/>
      <c r="Q14" s="21">
        <f>IF(B14="","",SUM(E14:P14))</f>
        <v/>
      </c>
      <c r="R14" s="21">
        <f>IF(OR(B14="",D14=""),"",ROUND(D14*Panel!$C$7+Vecinos!H14*MAX(0,MIN(Panel!$C$11,Panel!$C$7-Panel!$C$12+1)),2))</f>
        <v/>
      </c>
      <c r="S14" s="29">
        <f>IF(R14="","",MAX(0,ROUND(R14-Q14,2)))</f>
        <v/>
      </c>
      <c r="T14" s="32">
        <f>IF(OR(S14="",D14="",D14=0),"",ROUND(S14/D14,1))</f>
        <v/>
      </c>
      <c r="U14" s="23">
        <f>IF(S14="","",IF(S14&lt;0.005,"Al corriente",IF(S14&gt;=Panel!$C$13*D14-0.005,"Moroso","Con retraso")))</f>
        <v/>
      </c>
      <c r="V14" s="42">
        <f>IF(S14="","",IF(S14&gt;=0.005,S14+ROW()/10000000,""))</f>
        <v/>
      </c>
    </row>
    <row r="15">
      <c r="B15" s="40">
        <f>IF(Vecinos!B15="","",Vecinos!B15)</f>
        <v/>
      </c>
      <c r="C15" s="31">
        <f>IF(Vecinos!B15="","",Vecinos!C15&amp;"")</f>
        <v/>
      </c>
      <c r="D15" s="21">
        <f>IF(Vecinos!E15="","",Vecinos!E15)</f>
        <v/>
      </c>
      <c r="E15" s="41" t="n">
        <v>131.57</v>
      </c>
      <c r="F15" s="41" t="n">
        <v>131.57</v>
      </c>
      <c r="G15" s="41" t="n">
        <v>131.57</v>
      </c>
      <c r="H15" s="41" t="n">
        <v>232.37</v>
      </c>
      <c r="I15" s="41" t="n">
        <v>232.37</v>
      </c>
      <c r="J15" s="41" t="n">
        <v>232.37</v>
      </c>
      <c r="K15" s="41" t="n">
        <v>232.37</v>
      </c>
      <c r="L15" s="41" t="n">
        <v>131.57</v>
      </c>
      <c r="M15" s="41" t="n">
        <v>131.57</v>
      </c>
      <c r="N15" s="41" t="n"/>
      <c r="O15" s="41" t="n"/>
      <c r="P15" s="41" t="n"/>
      <c r="Q15" s="21">
        <f>IF(B15="","",SUM(E15:P15))</f>
        <v/>
      </c>
      <c r="R15" s="21">
        <f>IF(OR(B15="",D15=""),"",ROUND(D15*Panel!$C$7+Vecinos!H15*MAX(0,MIN(Panel!$C$11,Panel!$C$7-Panel!$C$12+1)),2))</f>
        <v/>
      </c>
      <c r="S15" s="29">
        <f>IF(R15="","",MAX(0,ROUND(R15-Q15,2)))</f>
        <v/>
      </c>
      <c r="T15" s="32">
        <f>IF(OR(S15="",D15="",D15=0),"",ROUND(S15/D15,1))</f>
        <v/>
      </c>
      <c r="U15" s="23">
        <f>IF(S15="","",IF(S15&lt;0.005,"Al corriente",IF(S15&gt;=Panel!$C$13*D15-0.005,"Moroso","Con retraso")))</f>
        <v/>
      </c>
      <c r="V15" s="42">
        <f>IF(S15="","",IF(S15&gt;=0.005,S15+ROW()/10000000,""))</f>
        <v/>
      </c>
    </row>
    <row r="16">
      <c r="B16" s="40">
        <f>IF(Vecinos!B16="","",Vecinos!B16)</f>
        <v/>
      </c>
      <c r="C16" s="31">
        <f>IF(Vecinos!B16="","",Vecinos!C16&amp;"")</f>
        <v/>
      </c>
      <c r="D16" s="21">
        <f>IF(Vecinos!E16="","",Vecinos!E16)</f>
        <v/>
      </c>
      <c r="E16" s="41" t="n">
        <v>142.53</v>
      </c>
      <c r="F16" s="41" t="n">
        <v>142.53</v>
      </c>
      <c r="G16" s="41" t="n">
        <v>142.53</v>
      </c>
      <c r="H16" s="41" t="n">
        <v>251.73</v>
      </c>
      <c r="I16" s="41" t="n">
        <v>251.73</v>
      </c>
      <c r="J16" s="41" t="n">
        <v>251.73</v>
      </c>
      <c r="K16" s="41" t="n">
        <v>251.73</v>
      </c>
      <c r="L16" s="41" t="n"/>
      <c r="M16" s="41" t="n"/>
      <c r="N16" s="41" t="n"/>
      <c r="O16" s="41" t="n"/>
      <c r="P16" s="41" t="n"/>
      <c r="Q16" s="21">
        <f>IF(B16="","",SUM(E16:P16))</f>
        <v/>
      </c>
      <c r="R16" s="21">
        <f>IF(OR(B16="",D16=""),"",ROUND(D16*Panel!$C$7+Vecinos!H16*MAX(0,MIN(Panel!$C$11,Panel!$C$7-Panel!$C$12+1)),2))</f>
        <v/>
      </c>
      <c r="S16" s="29">
        <f>IF(R16="","",MAX(0,ROUND(R16-Q16,2)))</f>
        <v/>
      </c>
      <c r="T16" s="32">
        <f>IF(OR(S16="",D16="",D16=0),"",ROUND(S16/D16,1))</f>
        <v/>
      </c>
      <c r="U16" s="23">
        <f>IF(S16="","",IF(S16&lt;0.005,"Al corriente",IF(S16&gt;=Panel!$C$13*D16-0.005,"Moroso","Con retraso")))</f>
        <v/>
      </c>
      <c r="V16" s="42">
        <f>IF(S16="","",IF(S16&gt;=0.005,S16+ROW()/10000000,""))</f>
        <v/>
      </c>
    </row>
    <row r="17">
      <c r="B17" s="40">
        <f>IF(Vecinos!B17="","",Vecinos!B17)</f>
        <v/>
      </c>
      <c r="C17" s="31">
        <f>IF(Vecinos!B17="","",Vecinos!C17&amp;"")</f>
        <v/>
      </c>
      <c r="D17" s="21">
        <f>IF(Vecinos!E17="","",Vecinos!E17)</f>
        <v/>
      </c>
      <c r="E17" s="41" t="n">
        <v>139.4</v>
      </c>
      <c r="F17" s="41" t="n">
        <v>139.4</v>
      </c>
      <c r="G17" s="41" t="n">
        <v>139.4</v>
      </c>
      <c r="H17" s="41" t="n">
        <v>246.2</v>
      </c>
      <c r="I17" s="41" t="n">
        <v>246.2</v>
      </c>
      <c r="J17" s="41" t="n">
        <v>246.2</v>
      </c>
      <c r="K17" s="41" t="n">
        <v>246.2</v>
      </c>
      <c r="L17" s="41" t="n">
        <v>139.4</v>
      </c>
      <c r="M17" s="41" t="n">
        <v>139.4</v>
      </c>
      <c r="N17" s="41" t="n"/>
      <c r="O17" s="41" t="n"/>
      <c r="P17" s="41" t="n"/>
      <c r="Q17" s="21">
        <f>IF(B17="","",SUM(E17:P17))</f>
        <v/>
      </c>
      <c r="R17" s="21">
        <f>IF(OR(B17="",D17=""),"",ROUND(D17*Panel!$C$7+Vecinos!H17*MAX(0,MIN(Panel!$C$11,Panel!$C$7-Panel!$C$12+1)),2))</f>
        <v/>
      </c>
      <c r="S17" s="29">
        <f>IF(R17="","",MAX(0,ROUND(R17-Q17,2)))</f>
        <v/>
      </c>
      <c r="T17" s="32">
        <f>IF(OR(S17="",D17="",D17=0),"",ROUND(S17/D17,1))</f>
        <v/>
      </c>
      <c r="U17" s="23">
        <f>IF(S17="","",IF(S17&lt;0.005,"Al corriente",IF(S17&gt;=Panel!$C$13*D17-0.005,"Moroso","Con retraso")))</f>
        <v/>
      </c>
      <c r="V17" s="42">
        <f>IF(S17="","",IF(S17&gt;=0.005,S17+ROW()/10000000,""))</f>
        <v/>
      </c>
    </row>
    <row r="18">
      <c r="B18" s="40">
        <f>IF(Vecinos!B18="","",Vecinos!B18)</f>
        <v/>
      </c>
      <c r="C18" s="31">
        <f>IF(Vecinos!B18="","",Vecinos!C18&amp;"")</f>
        <v/>
      </c>
      <c r="D18" s="21">
        <f>IF(Vecinos!E18="","",Vecinos!E18)</f>
        <v/>
      </c>
      <c r="E18" s="41" t="n">
        <v>137.83</v>
      </c>
      <c r="F18" s="41" t="n">
        <v>137.83</v>
      </c>
      <c r="G18" s="41" t="n">
        <v>137.83</v>
      </c>
      <c r="H18" s="41" t="n">
        <v>243.43</v>
      </c>
      <c r="I18" s="41" t="n">
        <v>243.43</v>
      </c>
      <c r="J18" s="41" t="n">
        <v>243.43</v>
      </c>
      <c r="K18" s="41" t="n">
        <v>243.43</v>
      </c>
      <c r="L18" s="41" t="n">
        <v>137.83</v>
      </c>
      <c r="M18" s="41" t="n">
        <v>137.83</v>
      </c>
      <c r="N18" s="41" t="n"/>
      <c r="O18" s="41" t="n"/>
      <c r="P18" s="41" t="n"/>
      <c r="Q18" s="21">
        <f>IF(B18="","",SUM(E18:P18))</f>
        <v/>
      </c>
      <c r="R18" s="21">
        <f>IF(OR(B18="",D18=""),"",ROUND(D18*Panel!$C$7+Vecinos!H18*MAX(0,MIN(Panel!$C$11,Panel!$C$7-Panel!$C$12+1)),2))</f>
        <v/>
      </c>
      <c r="S18" s="29">
        <f>IF(R18="","",MAX(0,ROUND(R18-Q18,2)))</f>
        <v/>
      </c>
      <c r="T18" s="32">
        <f>IF(OR(S18="",D18="",D18=0),"",ROUND(S18/D18,1))</f>
        <v/>
      </c>
      <c r="U18" s="23">
        <f>IF(S18="","",IF(S18&lt;0.005,"Al corriente",IF(S18&gt;=Panel!$C$13*D18-0.005,"Moroso","Con retraso")))</f>
        <v/>
      </c>
      <c r="V18" s="42">
        <f>IF(S18="","",IF(S18&gt;=0.005,S18+ROW()/10000000,""))</f>
        <v/>
      </c>
    </row>
    <row r="19">
      <c r="B19" s="40">
        <f>IF(Vecinos!B19="","",Vecinos!B19)</f>
        <v/>
      </c>
      <c r="C19" s="31">
        <f>IF(Vecinos!B19="","",Vecinos!C19&amp;"")</f>
        <v/>
      </c>
      <c r="D19" s="21">
        <f>IF(Vecinos!E19="","",Vecinos!E19)</f>
        <v/>
      </c>
      <c r="E19" s="41" t="n"/>
      <c r="F19" s="41" t="n"/>
      <c r="G19" s="41" t="n"/>
      <c r="H19" s="41" t="n"/>
      <c r="I19" s="41" t="n"/>
      <c r="J19" s="41" t="n"/>
      <c r="K19" s="41" t="n"/>
      <c r="L19" s="41" t="n"/>
      <c r="M19" s="41" t="n"/>
      <c r="N19" s="41" t="n"/>
      <c r="O19" s="41" t="n"/>
      <c r="P19" s="41" t="n"/>
      <c r="Q19" s="21">
        <f>IF(B19="","",SUM(E19:P19))</f>
        <v/>
      </c>
      <c r="R19" s="21">
        <f>IF(OR(B19="",D19=""),"",ROUND(D19*Panel!$C$7+Vecinos!H19*MAX(0,MIN(Panel!$C$11,Panel!$C$7-Panel!$C$12+1)),2))</f>
        <v/>
      </c>
      <c r="S19" s="29">
        <f>IF(R19="","",MAX(0,ROUND(R19-Q19,2)))</f>
        <v/>
      </c>
      <c r="T19" s="32">
        <f>IF(OR(S19="",D19="",D19=0),"",ROUND(S19/D19,1))</f>
        <v/>
      </c>
      <c r="U19" s="23">
        <f>IF(S19="","",IF(S19&lt;0.005,"Al corriente",IF(S19&gt;=Panel!$C$13*D19-0.005,"Moroso","Con retraso")))</f>
        <v/>
      </c>
      <c r="V19" s="42">
        <f>IF(S19="","",IF(S19&gt;=0.005,S19+ROW()/10000000,""))</f>
        <v/>
      </c>
    </row>
    <row r="20">
      <c r="B20" s="40">
        <f>IF(Vecinos!B20="","",Vecinos!B20)</f>
        <v/>
      </c>
      <c r="C20" s="31">
        <f>IF(Vecinos!B20="","",Vecinos!C20&amp;"")</f>
        <v/>
      </c>
      <c r="D20" s="21">
        <f>IF(Vecinos!E20="","",Vecinos!E20)</f>
        <v/>
      </c>
      <c r="E20" s="41" t="n"/>
      <c r="F20" s="41" t="n"/>
      <c r="G20" s="41" t="n"/>
      <c r="H20" s="41" t="n"/>
      <c r="I20" s="41" t="n"/>
      <c r="J20" s="41" t="n"/>
      <c r="K20" s="41" t="n"/>
      <c r="L20" s="41" t="n"/>
      <c r="M20" s="41" t="n"/>
      <c r="N20" s="41" t="n"/>
      <c r="O20" s="41" t="n"/>
      <c r="P20" s="41" t="n"/>
      <c r="Q20" s="21">
        <f>IF(B20="","",SUM(E20:P20))</f>
        <v/>
      </c>
      <c r="R20" s="21">
        <f>IF(OR(B20="",D20=""),"",ROUND(D20*Panel!$C$7+Vecinos!H20*MAX(0,MIN(Panel!$C$11,Panel!$C$7-Panel!$C$12+1)),2))</f>
        <v/>
      </c>
      <c r="S20" s="29">
        <f>IF(R20="","",MAX(0,ROUND(R20-Q20,2)))</f>
        <v/>
      </c>
      <c r="T20" s="32">
        <f>IF(OR(S20="",D20="",D20=0),"",ROUND(S20/D20,1))</f>
        <v/>
      </c>
      <c r="U20" s="23">
        <f>IF(S20="","",IF(S20&lt;0.005,"Al corriente",IF(S20&gt;=Panel!$C$13*D20-0.005,"Moroso","Con retraso")))</f>
        <v/>
      </c>
      <c r="V20" s="42">
        <f>IF(S20="","",IF(S20&gt;=0.005,S20+ROW()/10000000,""))</f>
        <v/>
      </c>
    </row>
    <row r="21">
      <c r="B21" s="40">
        <f>IF(Vecinos!B21="","",Vecinos!B21)</f>
        <v/>
      </c>
      <c r="C21" s="31">
        <f>IF(Vecinos!B21="","",Vecinos!C21&amp;"")</f>
        <v/>
      </c>
      <c r="D21" s="21">
        <f>IF(Vecinos!E21="","",Vecinos!E21)</f>
        <v/>
      </c>
      <c r="E21" s="41" t="n"/>
      <c r="F21" s="41" t="n"/>
      <c r="G21" s="41" t="n"/>
      <c r="H21" s="41" t="n"/>
      <c r="I21" s="41" t="n"/>
      <c r="J21" s="41" t="n"/>
      <c r="K21" s="41" t="n"/>
      <c r="L21" s="41" t="n"/>
      <c r="M21" s="41" t="n"/>
      <c r="N21" s="41" t="n"/>
      <c r="O21" s="41" t="n"/>
      <c r="P21" s="41" t="n"/>
      <c r="Q21" s="21">
        <f>IF(B21="","",SUM(E21:P21))</f>
        <v/>
      </c>
      <c r="R21" s="21">
        <f>IF(OR(B21="",D21=""),"",ROUND(D21*Panel!$C$7+Vecinos!H21*MAX(0,MIN(Panel!$C$11,Panel!$C$7-Panel!$C$12+1)),2))</f>
        <v/>
      </c>
      <c r="S21" s="29">
        <f>IF(R21="","",MAX(0,ROUND(R21-Q21,2)))</f>
        <v/>
      </c>
      <c r="T21" s="32">
        <f>IF(OR(S21="",D21="",D21=0),"",ROUND(S21/D21,1))</f>
        <v/>
      </c>
      <c r="U21" s="23">
        <f>IF(S21="","",IF(S21&lt;0.005,"Al corriente",IF(S21&gt;=Panel!$C$13*D21-0.005,"Moroso","Con retraso")))</f>
        <v/>
      </c>
      <c r="V21" s="42">
        <f>IF(S21="","",IF(S21&gt;=0.005,S21+ROW()/10000000,""))</f>
        <v/>
      </c>
    </row>
    <row r="22">
      <c r="B22" s="40">
        <f>IF(Vecinos!B22="","",Vecinos!B22)</f>
        <v/>
      </c>
      <c r="C22" s="31">
        <f>IF(Vecinos!B22="","",Vecinos!C22&amp;"")</f>
        <v/>
      </c>
      <c r="D22" s="21">
        <f>IF(Vecinos!E22="","",Vecinos!E22)</f>
        <v/>
      </c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21">
        <f>IF(B22="","",SUM(E22:P22))</f>
        <v/>
      </c>
      <c r="R22" s="21">
        <f>IF(OR(B22="",D22=""),"",ROUND(D22*Panel!$C$7+Vecinos!H22*MAX(0,MIN(Panel!$C$11,Panel!$C$7-Panel!$C$12+1)),2))</f>
        <v/>
      </c>
      <c r="S22" s="29">
        <f>IF(R22="","",MAX(0,ROUND(R22-Q22,2)))</f>
        <v/>
      </c>
      <c r="T22" s="32">
        <f>IF(OR(S22="",D22="",D22=0),"",ROUND(S22/D22,1))</f>
        <v/>
      </c>
      <c r="U22" s="23">
        <f>IF(S22="","",IF(S22&lt;0.005,"Al corriente",IF(S22&gt;=Panel!$C$13*D22-0.005,"Moroso","Con retraso")))</f>
        <v/>
      </c>
      <c r="V22" s="42">
        <f>IF(S22="","",IF(S22&gt;=0.005,S22+ROW()/10000000,""))</f>
        <v/>
      </c>
    </row>
    <row r="23">
      <c r="B23" s="40">
        <f>IF(Vecinos!B23="","",Vecinos!B23)</f>
        <v/>
      </c>
      <c r="C23" s="31">
        <f>IF(Vecinos!B23="","",Vecinos!C23&amp;"")</f>
        <v/>
      </c>
      <c r="D23" s="21">
        <f>IF(Vecinos!E23="","",Vecinos!E23)</f>
        <v/>
      </c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21">
        <f>IF(B23="","",SUM(E23:P23))</f>
        <v/>
      </c>
      <c r="R23" s="21">
        <f>IF(OR(B23="",D23=""),"",ROUND(D23*Panel!$C$7+Vecinos!H23*MAX(0,MIN(Panel!$C$11,Panel!$C$7-Panel!$C$12+1)),2))</f>
        <v/>
      </c>
      <c r="S23" s="29">
        <f>IF(R23="","",MAX(0,ROUND(R23-Q23,2)))</f>
        <v/>
      </c>
      <c r="T23" s="32">
        <f>IF(OR(S23="",D23="",D23=0),"",ROUND(S23/D23,1))</f>
        <v/>
      </c>
      <c r="U23" s="23">
        <f>IF(S23="","",IF(S23&lt;0.005,"Al corriente",IF(S23&gt;=Panel!$C$13*D23-0.005,"Moroso","Con retraso")))</f>
        <v/>
      </c>
      <c r="V23" s="42">
        <f>IF(S23="","",IF(S23&gt;=0.005,S23+ROW()/10000000,""))</f>
        <v/>
      </c>
    </row>
    <row r="24">
      <c r="B24" s="40">
        <f>IF(Vecinos!B24="","",Vecinos!B24)</f>
        <v/>
      </c>
      <c r="C24" s="31">
        <f>IF(Vecinos!B24="","",Vecinos!C24&amp;"")</f>
        <v/>
      </c>
      <c r="D24" s="21">
        <f>IF(Vecinos!E24="","",Vecinos!E24)</f>
        <v/>
      </c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21">
        <f>IF(B24="","",SUM(E24:P24))</f>
        <v/>
      </c>
      <c r="R24" s="21">
        <f>IF(OR(B24="",D24=""),"",ROUND(D24*Panel!$C$7+Vecinos!H24*MAX(0,MIN(Panel!$C$11,Panel!$C$7-Panel!$C$12+1)),2))</f>
        <v/>
      </c>
      <c r="S24" s="29">
        <f>IF(R24="","",MAX(0,ROUND(R24-Q24,2)))</f>
        <v/>
      </c>
      <c r="T24" s="32">
        <f>IF(OR(S24="",D24="",D24=0),"",ROUND(S24/D24,1))</f>
        <v/>
      </c>
      <c r="U24" s="23">
        <f>IF(S24="","",IF(S24&lt;0.005,"Al corriente",IF(S24&gt;=Panel!$C$13*D24-0.005,"Moroso","Con retraso")))</f>
        <v/>
      </c>
      <c r="V24" s="42">
        <f>IF(S24="","",IF(S24&gt;=0.005,S24+ROW()/10000000,""))</f>
        <v/>
      </c>
    </row>
    <row r="25">
      <c r="B25" s="40">
        <f>IF(Vecinos!B25="","",Vecinos!B25)</f>
        <v/>
      </c>
      <c r="C25" s="31">
        <f>IF(Vecinos!B25="","",Vecinos!C25&amp;"")</f>
        <v/>
      </c>
      <c r="D25" s="21">
        <f>IF(Vecinos!E25="","",Vecinos!E25)</f>
        <v/>
      </c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21">
        <f>IF(B25="","",SUM(E25:P25))</f>
        <v/>
      </c>
      <c r="R25" s="21">
        <f>IF(OR(B25="",D25=""),"",ROUND(D25*Panel!$C$7+Vecinos!H25*MAX(0,MIN(Panel!$C$11,Panel!$C$7-Panel!$C$12+1)),2))</f>
        <v/>
      </c>
      <c r="S25" s="29">
        <f>IF(R25="","",MAX(0,ROUND(R25-Q25,2)))</f>
        <v/>
      </c>
      <c r="T25" s="32">
        <f>IF(OR(S25="",D25="",D25=0),"",ROUND(S25/D25,1))</f>
        <v/>
      </c>
      <c r="U25" s="23">
        <f>IF(S25="","",IF(S25&lt;0.005,"Al corriente",IF(S25&gt;=Panel!$C$13*D25-0.005,"Moroso","Con retraso")))</f>
        <v/>
      </c>
      <c r="V25" s="42">
        <f>IF(S25="","",IF(S25&gt;=0.005,S25+ROW()/10000000,""))</f>
        <v/>
      </c>
    </row>
    <row r="26">
      <c r="B26" s="40">
        <f>IF(Vecinos!B26="","",Vecinos!B26)</f>
        <v/>
      </c>
      <c r="C26" s="31">
        <f>IF(Vecinos!B26="","",Vecinos!C26&amp;"")</f>
        <v/>
      </c>
      <c r="D26" s="21">
        <f>IF(Vecinos!E26="","",Vecinos!E26)</f>
        <v/>
      </c>
      <c r="E26" s="41" t="n"/>
      <c r="F26" s="41" t="n"/>
      <c r="G26" s="41" t="n"/>
      <c r="H26" s="41" t="n"/>
      <c r="I26" s="41" t="n"/>
      <c r="J26" s="41" t="n"/>
      <c r="K26" s="41" t="n"/>
      <c r="L26" s="41" t="n"/>
      <c r="M26" s="41" t="n"/>
      <c r="N26" s="41" t="n"/>
      <c r="O26" s="41" t="n"/>
      <c r="P26" s="41" t="n"/>
      <c r="Q26" s="21">
        <f>IF(B26="","",SUM(E26:P26))</f>
        <v/>
      </c>
      <c r="R26" s="21">
        <f>IF(OR(B26="",D26=""),"",ROUND(D26*Panel!$C$7+Vecinos!H26*MAX(0,MIN(Panel!$C$11,Panel!$C$7-Panel!$C$12+1)),2))</f>
        <v/>
      </c>
      <c r="S26" s="29">
        <f>IF(R26="","",MAX(0,ROUND(R26-Q26,2)))</f>
        <v/>
      </c>
      <c r="T26" s="32">
        <f>IF(OR(S26="",D26="",D26=0),"",ROUND(S26/D26,1))</f>
        <v/>
      </c>
      <c r="U26" s="23">
        <f>IF(S26="","",IF(S26&lt;0.005,"Al corriente",IF(S26&gt;=Panel!$C$13*D26-0.005,"Moroso","Con retraso")))</f>
        <v/>
      </c>
      <c r="V26" s="42">
        <f>IF(S26="","",IF(S26&gt;=0.005,S26+ROW()/10000000,""))</f>
        <v/>
      </c>
    </row>
    <row r="27">
      <c r="B27" s="40">
        <f>IF(Vecinos!B27="","",Vecinos!B27)</f>
        <v/>
      </c>
      <c r="C27" s="31">
        <f>IF(Vecinos!B27="","",Vecinos!C27&amp;"")</f>
        <v/>
      </c>
      <c r="D27" s="21">
        <f>IF(Vecinos!E27="","",Vecinos!E27)</f>
        <v/>
      </c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21">
        <f>IF(B27="","",SUM(E27:P27))</f>
        <v/>
      </c>
      <c r="R27" s="21">
        <f>IF(OR(B27="",D27=""),"",ROUND(D27*Panel!$C$7+Vecinos!H27*MAX(0,MIN(Panel!$C$11,Panel!$C$7-Panel!$C$12+1)),2))</f>
        <v/>
      </c>
      <c r="S27" s="29">
        <f>IF(R27="","",MAX(0,ROUND(R27-Q27,2)))</f>
        <v/>
      </c>
      <c r="T27" s="32">
        <f>IF(OR(S27="",D27="",D27=0),"",ROUND(S27/D27,1))</f>
        <v/>
      </c>
      <c r="U27" s="23">
        <f>IF(S27="","",IF(S27&lt;0.005,"Al corriente",IF(S27&gt;=Panel!$C$13*D27-0.005,"Moroso","Con retraso")))</f>
        <v/>
      </c>
      <c r="V27" s="42">
        <f>IF(S27="","",IF(S27&gt;=0.005,S27+ROW()/10000000,""))</f>
        <v/>
      </c>
    </row>
    <row r="28">
      <c r="B28" s="40">
        <f>IF(Vecinos!B28="","",Vecinos!B28)</f>
        <v/>
      </c>
      <c r="C28" s="31">
        <f>IF(Vecinos!B28="","",Vecinos!C28&amp;"")</f>
        <v/>
      </c>
      <c r="D28" s="21">
        <f>IF(Vecinos!E28="","",Vecinos!E28)</f>
        <v/>
      </c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21">
        <f>IF(B28="","",SUM(E28:P28))</f>
        <v/>
      </c>
      <c r="R28" s="21">
        <f>IF(OR(B28="",D28=""),"",ROUND(D28*Panel!$C$7+Vecinos!H28*MAX(0,MIN(Panel!$C$11,Panel!$C$7-Panel!$C$12+1)),2))</f>
        <v/>
      </c>
      <c r="S28" s="29">
        <f>IF(R28="","",MAX(0,ROUND(R28-Q28,2)))</f>
        <v/>
      </c>
      <c r="T28" s="32">
        <f>IF(OR(S28="",D28="",D28=0),"",ROUND(S28/D28,1))</f>
        <v/>
      </c>
      <c r="U28" s="23">
        <f>IF(S28="","",IF(S28&lt;0.005,"Al corriente",IF(S28&gt;=Panel!$C$13*D28-0.005,"Moroso","Con retraso")))</f>
        <v/>
      </c>
      <c r="V28" s="42">
        <f>IF(S28="","",IF(S28&gt;=0.005,S28+ROW()/10000000,""))</f>
        <v/>
      </c>
    </row>
    <row r="29">
      <c r="B29" s="40">
        <f>IF(Vecinos!B29="","",Vecinos!B29)</f>
        <v/>
      </c>
      <c r="C29" s="31">
        <f>IF(Vecinos!B29="","",Vecinos!C29&amp;"")</f>
        <v/>
      </c>
      <c r="D29" s="21">
        <f>IF(Vecinos!E29="","",Vecinos!E29)</f>
        <v/>
      </c>
      <c r="E29" s="41" t="n"/>
      <c r="F29" s="41" t="n"/>
      <c r="G29" s="41" t="n"/>
      <c r="H29" s="41" t="n"/>
      <c r="I29" s="41" t="n"/>
      <c r="J29" s="41" t="n"/>
      <c r="K29" s="41" t="n"/>
      <c r="L29" s="41" t="n"/>
      <c r="M29" s="41" t="n"/>
      <c r="N29" s="41" t="n"/>
      <c r="O29" s="41" t="n"/>
      <c r="P29" s="41" t="n"/>
      <c r="Q29" s="21">
        <f>IF(B29="","",SUM(E29:P29))</f>
        <v/>
      </c>
      <c r="R29" s="21">
        <f>IF(OR(B29="",D29=""),"",ROUND(D29*Panel!$C$7+Vecinos!H29*MAX(0,MIN(Panel!$C$11,Panel!$C$7-Panel!$C$12+1)),2))</f>
        <v/>
      </c>
      <c r="S29" s="29">
        <f>IF(R29="","",MAX(0,ROUND(R29-Q29,2)))</f>
        <v/>
      </c>
      <c r="T29" s="32">
        <f>IF(OR(S29="",D29="",D29=0),"",ROUND(S29/D29,1))</f>
        <v/>
      </c>
      <c r="U29" s="23">
        <f>IF(S29="","",IF(S29&lt;0.005,"Al corriente",IF(S29&gt;=Panel!$C$13*D29-0.005,"Moroso","Con retraso")))</f>
        <v/>
      </c>
      <c r="V29" s="42">
        <f>IF(S29="","",IF(S29&gt;=0.005,S29+ROW()/10000000,""))</f>
        <v/>
      </c>
    </row>
    <row r="30">
      <c r="B30" s="40">
        <f>IF(Vecinos!B30="","",Vecinos!B30)</f>
        <v/>
      </c>
      <c r="C30" s="31">
        <f>IF(Vecinos!B30="","",Vecinos!C30&amp;"")</f>
        <v/>
      </c>
      <c r="D30" s="21">
        <f>IF(Vecinos!E30="","",Vecinos!E30)</f>
        <v/>
      </c>
      <c r="E30" s="41" t="n"/>
      <c r="F30" s="41" t="n"/>
      <c r="G30" s="41" t="n"/>
      <c r="H30" s="41" t="n"/>
      <c r="I30" s="41" t="n"/>
      <c r="J30" s="41" t="n"/>
      <c r="K30" s="41" t="n"/>
      <c r="L30" s="41" t="n"/>
      <c r="M30" s="41" t="n"/>
      <c r="N30" s="41" t="n"/>
      <c r="O30" s="41" t="n"/>
      <c r="P30" s="41" t="n"/>
      <c r="Q30" s="21">
        <f>IF(B30="","",SUM(E30:P30))</f>
        <v/>
      </c>
      <c r="R30" s="21">
        <f>IF(OR(B30="",D30=""),"",ROUND(D30*Panel!$C$7+Vecinos!H30*MAX(0,MIN(Panel!$C$11,Panel!$C$7-Panel!$C$12+1)),2))</f>
        <v/>
      </c>
      <c r="S30" s="29">
        <f>IF(R30="","",MAX(0,ROUND(R30-Q30,2)))</f>
        <v/>
      </c>
      <c r="T30" s="32">
        <f>IF(OR(S30="",D30="",D30=0),"",ROUND(S30/D30,1))</f>
        <v/>
      </c>
      <c r="U30" s="23">
        <f>IF(S30="","",IF(S30&lt;0.005,"Al corriente",IF(S30&gt;=Panel!$C$13*D30-0.005,"Moroso","Con retraso")))</f>
        <v/>
      </c>
      <c r="V30" s="42">
        <f>IF(S30="","",IF(S30&gt;=0.005,S30+ROW()/10000000,""))</f>
        <v/>
      </c>
    </row>
    <row r="31">
      <c r="B31" s="40">
        <f>IF(Vecinos!B31="","",Vecinos!B31)</f>
        <v/>
      </c>
      <c r="C31" s="31">
        <f>IF(Vecinos!B31="","",Vecinos!C31&amp;"")</f>
        <v/>
      </c>
      <c r="D31" s="21">
        <f>IF(Vecinos!E31="","",Vecinos!E31)</f>
        <v/>
      </c>
      <c r="E31" s="41" t="n"/>
      <c r="F31" s="41" t="n"/>
      <c r="G31" s="41" t="n"/>
      <c r="H31" s="41" t="n"/>
      <c r="I31" s="41" t="n"/>
      <c r="J31" s="41" t="n"/>
      <c r="K31" s="41" t="n"/>
      <c r="L31" s="41" t="n"/>
      <c r="M31" s="41" t="n"/>
      <c r="N31" s="41" t="n"/>
      <c r="O31" s="41" t="n"/>
      <c r="P31" s="41" t="n"/>
      <c r="Q31" s="21">
        <f>IF(B31="","",SUM(E31:P31))</f>
        <v/>
      </c>
      <c r="R31" s="21">
        <f>IF(OR(B31="",D31=""),"",ROUND(D31*Panel!$C$7+Vecinos!H31*MAX(0,MIN(Panel!$C$11,Panel!$C$7-Panel!$C$12+1)),2))</f>
        <v/>
      </c>
      <c r="S31" s="29">
        <f>IF(R31="","",MAX(0,ROUND(R31-Q31,2)))</f>
        <v/>
      </c>
      <c r="T31" s="32">
        <f>IF(OR(S31="",D31="",D31=0),"",ROUND(S31/D31,1))</f>
        <v/>
      </c>
      <c r="U31" s="23">
        <f>IF(S31="","",IF(S31&lt;0.005,"Al corriente",IF(S31&gt;=Panel!$C$13*D31-0.005,"Moroso","Con retraso")))</f>
        <v/>
      </c>
      <c r="V31" s="42">
        <f>IF(S31="","",IF(S31&gt;=0.005,S31+ROW()/10000000,""))</f>
        <v/>
      </c>
    </row>
    <row r="32">
      <c r="B32" s="40">
        <f>IF(Vecinos!B32="","",Vecinos!B32)</f>
        <v/>
      </c>
      <c r="C32" s="31">
        <f>IF(Vecinos!B32="","",Vecinos!C32&amp;"")</f>
        <v/>
      </c>
      <c r="D32" s="21">
        <f>IF(Vecinos!E32="","",Vecinos!E32)</f>
        <v/>
      </c>
      <c r="E32" s="41" t="n"/>
      <c r="F32" s="41" t="n"/>
      <c r="G32" s="41" t="n"/>
      <c r="H32" s="41" t="n"/>
      <c r="I32" s="41" t="n"/>
      <c r="J32" s="41" t="n"/>
      <c r="K32" s="41" t="n"/>
      <c r="L32" s="41" t="n"/>
      <c r="M32" s="41" t="n"/>
      <c r="N32" s="41" t="n"/>
      <c r="O32" s="41" t="n"/>
      <c r="P32" s="41" t="n"/>
      <c r="Q32" s="21">
        <f>IF(B32="","",SUM(E32:P32))</f>
        <v/>
      </c>
      <c r="R32" s="21">
        <f>IF(OR(B32="",D32=""),"",ROUND(D32*Panel!$C$7+Vecinos!H32*MAX(0,MIN(Panel!$C$11,Panel!$C$7-Panel!$C$12+1)),2))</f>
        <v/>
      </c>
      <c r="S32" s="29">
        <f>IF(R32="","",MAX(0,ROUND(R32-Q32,2)))</f>
        <v/>
      </c>
      <c r="T32" s="32">
        <f>IF(OR(S32="",D32="",D32=0),"",ROUND(S32/D32,1))</f>
        <v/>
      </c>
      <c r="U32" s="23">
        <f>IF(S32="","",IF(S32&lt;0.005,"Al corriente",IF(S32&gt;=Panel!$C$13*D32-0.005,"Moroso","Con retraso")))</f>
        <v/>
      </c>
      <c r="V32" s="42">
        <f>IF(S32="","",IF(S32&gt;=0.005,S32+ROW()/10000000,""))</f>
        <v/>
      </c>
    </row>
    <row r="33">
      <c r="B33" s="40">
        <f>IF(Vecinos!B33="","",Vecinos!B33)</f>
        <v/>
      </c>
      <c r="C33" s="31">
        <f>IF(Vecinos!B33="","",Vecinos!C33&amp;"")</f>
        <v/>
      </c>
      <c r="D33" s="21">
        <f>IF(Vecinos!E33="","",Vecinos!E33)</f>
        <v/>
      </c>
      <c r="E33" s="41" t="n"/>
      <c r="F33" s="41" t="n"/>
      <c r="G33" s="41" t="n"/>
      <c r="H33" s="41" t="n"/>
      <c r="I33" s="41" t="n"/>
      <c r="J33" s="41" t="n"/>
      <c r="K33" s="41" t="n"/>
      <c r="L33" s="41" t="n"/>
      <c r="M33" s="41" t="n"/>
      <c r="N33" s="41" t="n"/>
      <c r="O33" s="41" t="n"/>
      <c r="P33" s="41" t="n"/>
      <c r="Q33" s="21">
        <f>IF(B33="","",SUM(E33:P33))</f>
        <v/>
      </c>
      <c r="R33" s="21">
        <f>IF(OR(B33="",D33=""),"",ROUND(D33*Panel!$C$7+Vecinos!H33*MAX(0,MIN(Panel!$C$11,Panel!$C$7-Panel!$C$12+1)),2))</f>
        <v/>
      </c>
      <c r="S33" s="29">
        <f>IF(R33="","",MAX(0,ROUND(R33-Q33,2)))</f>
        <v/>
      </c>
      <c r="T33" s="32">
        <f>IF(OR(S33="",D33="",D33=0),"",ROUND(S33/D33,1))</f>
        <v/>
      </c>
      <c r="U33" s="23">
        <f>IF(S33="","",IF(S33&lt;0.005,"Al corriente",IF(S33&gt;=Panel!$C$13*D33-0.005,"Moroso","Con retraso")))</f>
        <v/>
      </c>
      <c r="V33" s="42">
        <f>IF(S33="","",IF(S33&gt;=0.005,S33+ROW()/10000000,""))</f>
        <v/>
      </c>
    </row>
    <row r="34">
      <c r="B34" s="40">
        <f>IF(Vecinos!B34="","",Vecinos!B34)</f>
        <v/>
      </c>
      <c r="C34" s="31">
        <f>IF(Vecinos!B34="","",Vecinos!C34&amp;"")</f>
        <v/>
      </c>
      <c r="D34" s="21">
        <f>IF(Vecinos!E34="","",Vecinos!E34)</f>
        <v/>
      </c>
      <c r="E34" s="41" t="n"/>
      <c r="F34" s="41" t="n"/>
      <c r="G34" s="41" t="n"/>
      <c r="H34" s="41" t="n"/>
      <c r="I34" s="41" t="n"/>
      <c r="J34" s="41" t="n"/>
      <c r="K34" s="41" t="n"/>
      <c r="L34" s="41" t="n"/>
      <c r="M34" s="41" t="n"/>
      <c r="N34" s="41" t="n"/>
      <c r="O34" s="41" t="n"/>
      <c r="P34" s="41" t="n"/>
      <c r="Q34" s="21">
        <f>IF(B34="","",SUM(E34:P34))</f>
        <v/>
      </c>
      <c r="R34" s="21">
        <f>IF(OR(B34="",D34=""),"",ROUND(D34*Panel!$C$7+Vecinos!H34*MAX(0,MIN(Panel!$C$11,Panel!$C$7-Panel!$C$12+1)),2))</f>
        <v/>
      </c>
      <c r="S34" s="29">
        <f>IF(R34="","",MAX(0,ROUND(R34-Q34,2)))</f>
        <v/>
      </c>
      <c r="T34" s="32">
        <f>IF(OR(S34="",D34="",D34=0),"",ROUND(S34/D34,1))</f>
        <v/>
      </c>
      <c r="U34" s="23">
        <f>IF(S34="","",IF(S34&lt;0.005,"Al corriente",IF(S34&gt;=Panel!$C$13*D34-0.005,"Moroso","Con retraso")))</f>
        <v/>
      </c>
      <c r="V34" s="42">
        <f>IF(S34="","",IF(S34&gt;=0.005,S34+ROW()/10000000,""))</f>
        <v/>
      </c>
    </row>
    <row r="35">
      <c r="B35" s="40">
        <f>IF(Vecinos!B35="","",Vecinos!B35)</f>
        <v/>
      </c>
      <c r="C35" s="31">
        <f>IF(Vecinos!B35="","",Vecinos!C35&amp;"")</f>
        <v/>
      </c>
      <c r="D35" s="21">
        <f>IF(Vecinos!E35="","",Vecinos!E35)</f>
        <v/>
      </c>
      <c r="E35" s="41" t="n"/>
      <c r="F35" s="41" t="n"/>
      <c r="G35" s="41" t="n"/>
      <c r="H35" s="41" t="n"/>
      <c r="I35" s="41" t="n"/>
      <c r="J35" s="41" t="n"/>
      <c r="K35" s="41" t="n"/>
      <c r="L35" s="41" t="n"/>
      <c r="M35" s="41" t="n"/>
      <c r="N35" s="41" t="n"/>
      <c r="O35" s="41" t="n"/>
      <c r="P35" s="41" t="n"/>
      <c r="Q35" s="21">
        <f>IF(B35="","",SUM(E35:P35))</f>
        <v/>
      </c>
      <c r="R35" s="21">
        <f>IF(OR(B35="",D35=""),"",ROUND(D35*Panel!$C$7+Vecinos!H35*MAX(0,MIN(Panel!$C$11,Panel!$C$7-Panel!$C$12+1)),2))</f>
        <v/>
      </c>
      <c r="S35" s="29">
        <f>IF(R35="","",MAX(0,ROUND(R35-Q35,2)))</f>
        <v/>
      </c>
      <c r="T35" s="32">
        <f>IF(OR(S35="",D35="",D35=0),"",ROUND(S35/D35,1))</f>
        <v/>
      </c>
      <c r="U35" s="23">
        <f>IF(S35="","",IF(S35&lt;0.005,"Al corriente",IF(S35&gt;=Panel!$C$13*D35-0.005,"Moroso","Con retraso")))</f>
        <v/>
      </c>
      <c r="V35" s="42">
        <f>IF(S35="","",IF(S35&gt;=0.005,S35+ROW()/10000000,""))</f>
        <v/>
      </c>
    </row>
    <row r="36">
      <c r="B36" s="40">
        <f>IF(Vecinos!B36="","",Vecinos!B36)</f>
        <v/>
      </c>
      <c r="C36" s="31">
        <f>IF(Vecinos!B36="","",Vecinos!C36&amp;"")</f>
        <v/>
      </c>
      <c r="D36" s="21">
        <f>IF(Vecinos!E36="","",Vecinos!E36)</f>
        <v/>
      </c>
      <c r="E36" s="41" t="n"/>
      <c r="F36" s="41" t="n"/>
      <c r="G36" s="41" t="n"/>
      <c r="H36" s="41" t="n"/>
      <c r="I36" s="41" t="n"/>
      <c r="J36" s="41" t="n"/>
      <c r="K36" s="41" t="n"/>
      <c r="L36" s="41" t="n"/>
      <c r="M36" s="41" t="n"/>
      <c r="N36" s="41" t="n"/>
      <c r="O36" s="41" t="n"/>
      <c r="P36" s="41" t="n"/>
      <c r="Q36" s="21">
        <f>IF(B36="","",SUM(E36:P36))</f>
        <v/>
      </c>
      <c r="R36" s="21">
        <f>IF(OR(B36="",D36=""),"",ROUND(D36*Panel!$C$7+Vecinos!H36*MAX(0,MIN(Panel!$C$11,Panel!$C$7-Panel!$C$12+1)),2))</f>
        <v/>
      </c>
      <c r="S36" s="29">
        <f>IF(R36="","",MAX(0,ROUND(R36-Q36,2)))</f>
        <v/>
      </c>
      <c r="T36" s="32">
        <f>IF(OR(S36="",D36="",D36=0),"",ROUND(S36/D36,1))</f>
        <v/>
      </c>
      <c r="U36" s="23">
        <f>IF(S36="","",IF(S36&lt;0.005,"Al corriente",IF(S36&gt;=Panel!$C$13*D36-0.005,"Moroso","Con retraso")))</f>
        <v/>
      </c>
      <c r="V36" s="42">
        <f>IF(S36="","",IF(S36&gt;=0.005,S36+ROW()/10000000,""))</f>
        <v/>
      </c>
    </row>
    <row r="37">
      <c r="B37" s="40">
        <f>IF(Vecinos!B37="","",Vecinos!B37)</f>
        <v/>
      </c>
      <c r="C37" s="31">
        <f>IF(Vecinos!B37="","",Vecinos!C37&amp;"")</f>
        <v/>
      </c>
      <c r="D37" s="21">
        <f>IF(Vecinos!E37="","",Vecinos!E37)</f>
        <v/>
      </c>
      <c r="E37" s="41" t="n"/>
      <c r="F37" s="41" t="n"/>
      <c r="G37" s="41" t="n"/>
      <c r="H37" s="41" t="n"/>
      <c r="I37" s="41" t="n"/>
      <c r="J37" s="41" t="n"/>
      <c r="K37" s="41" t="n"/>
      <c r="L37" s="41" t="n"/>
      <c r="M37" s="41" t="n"/>
      <c r="N37" s="41" t="n"/>
      <c r="O37" s="41" t="n"/>
      <c r="P37" s="41" t="n"/>
      <c r="Q37" s="21">
        <f>IF(B37="","",SUM(E37:P37))</f>
        <v/>
      </c>
      <c r="R37" s="21">
        <f>IF(OR(B37="",D37=""),"",ROUND(D37*Panel!$C$7+Vecinos!H37*MAX(0,MIN(Panel!$C$11,Panel!$C$7-Panel!$C$12+1)),2))</f>
        <v/>
      </c>
      <c r="S37" s="29">
        <f>IF(R37="","",MAX(0,ROUND(R37-Q37,2)))</f>
        <v/>
      </c>
      <c r="T37" s="32">
        <f>IF(OR(S37="",D37="",D37=0),"",ROUND(S37/D37,1))</f>
        <v/>
      </c>
      <c r="U37" s="23">
        <f>IF(S37="","",IF(S37&lt;0.005,"Al corriente",IF(S37&gt;=Panel!$C$13*D37-0.005,"Moroso","Con retraso")))</f>
        <v/>
      </c>
      <c r="V37" s="42">
        <f>IF(S37="","",IF(S37&gt;=0.005,S37+ROW()/10000000,""))</f>
        <v/>
      </c>
    </row>
    <row r="38">
      <c r="B38" s="40">
        <f>IF(Vecinos!B38="","",Vecinos!B38)</f>
        <v/>
      </c>
      <c r="C38" s="31">
        <f>IF(Vecinos!B38="","",Vecinos!C38&amp;"")</f>
        <v/>
      </c>
      <c r="D38" s="21">
        <f>IF(Vecinos!E38="","",Vecinos!E38)</f>
        <v/>
      </c>
      <c r="E38" s="41" t="n"/>
      <c r="F38" s="41" t="n"/>
      <c r="G38" s="41" t="n"/>
      <c r="H38" s="41" t="n"/>
      <c r="I38" s="41" t="n"/>
      <c r="J38" s="41" t="n"/>
      <c r="K38" s="41" t="n"/>
      <c r="L38" s="41" t="n"/>
      <c r="M38" s="41" t="n"/>
      <c r="N38" s="41" t="n"/>
      <c r="O38" s="41" t="n"/>
      <c r="P38" s="41" t="n"/>
      <c r="Q38" s="21">
        <f>IF(B38="","",SUM(E38:P38))</f>
        <v/>
      </c>
      <c r="R38" s="21">
        <f>IF(OR(B38="",D38=""),"",ROUND(D38*Panel!$C$7+Vecinos!H38*MAX(0,MIN(Panel!$C$11,Panel!$C$7-Panel!$C$12+1)),2))</f>
        <v/>
      </c>
      <c r="S38" s="29">
        <f>IF(R38="","",MAX(0,ROUND(R38-Q38,2)))</f>
        <v/>
      </c>
      <c r="T38" s="32">
        <f>IF(OR(S38="",D38="",D38=0),"",ROUND(S38/D38,1))</f>
        <v/>
      </c>
      <c r="U38" s="23">
        <f>IF(S38="","",IF(S38&lt;0.005,"Al corriente",IF(S38&gt;=Panel!$C$13*D38-0.005,"Moroso","Con retraso")))</f>
        <v/>
      </c>
      <c r="V38" s="42">
        <f>IF(S38="","",IF(S38&gt;=0.005,S38+ROW()/10000000,""))</f>
        <v/>
      </c>
    </row>
    <row r="39">
      <c r="B39" s="40">
        <f>IF(Vecinos!B39="","",Vecinos!B39)</f>
        <v/>
      </c>
      <c r="C39" s="31">
        <f>IF(Vecinos!B39="","",Vecinos!C39&amp;"")</f>
        <v/>
      </c>
      <c r="D39" s="21">
        <f>IF(Vecinos!E39="","",Vecinos!E39)</f>
        <v/>
      </c>
      <c r="E39" s="41" t="n"/>
      <c r="F39" s="41" t="n"/>
      <c r="G39" s="41" t="n"/>
      <c r="H39" s="41" t="n"/>
      <c r="I39" s="41" t="n"/>
      <c r="J39" s="41" t="n"/>
      <c r="K39" s="41" t="n"/>
      <c r="L39" s="41" t="n"/>
      <c r="M39" s="41" t="n"/>
      <c r="N39" s="41" t="n"/>
      <c r="O39" s="41" t="n"/>
      <c r="P39" s="41" t="n"/>
      <c r="Q39" s="21">
        <f>IF(B39="","",SUM(E39:P39))</f>
        <v/>
      </c>
      <c r="R39" s="21">
        <f>IF(OR(B39="",D39=""),"",ROUND(D39*Panel!$C$7+Vecinos!H39*MAX(0,MIN(Panel!$C$11,Panel!$C$7-Panel!$C$12+1)),2))</f>
        <v/>
      </c>
      <c r="S39" s="29">
        <f>IF(R39="","",MAX(0,ROUND(R39-Q39,2)))</f>
        <v/>
      </c>
      <c r="T39" s="32">
        <f>IF(OR(S39="",D39="",D39=0),"",ROUND(S39/D39,1))</f>
        <v/>
      </c>
      <c r="U39" s="23">
        <f>IF(S39="","",IF(S39&lt;0.005,"Al corriente",IF(S39&gt;=Panel!$C$13*D39-0.005,"Moroso","Con retraso")))</f>
        <v/>
      </c>
      <c r="V39" s="42">
        <f>IF(S39="","",IF(S39&gt;=0.005,S39+ROW()/10000000,""))</f>
        <v/>
      </c>
    </row>
    <row r="40">
      <c r="B40" s="40">
        <f>IF(Vecinos!B40="","",Vecinos!B40)</f>
        <v/>
      </c>
      <c r="C40" s="31">
        <f>IF(Vecinos!B40="","",Vecinos!C40&amp;"")</f>
        <v/>
      </c>
      <c r="D40" s="21">
        <f>IF(Vecinos!E40="","",Vecinos!E40)</f>
        <v/>
      </c>
      <c r="E40" s="41" t="n"/>
      <c r="F40" s="41" t="n"/>
      <c r="G40" s="41" t="n"/>
      <c r="H40" s="41" t="n"/>
      <c r="I40" s="41" t="n"/>
      <c r="J40" s="41" t="n"/>
      <c r="K40" s="41" t="n"/>
      <c r="L40" s="41" t="n"/>
      <c r="M40" s="41" t="n"/>
      <c r="N40" s="41" t="n"/>
      <c r="O40" s="41" t="n"/>
      <c r="P40" s="41" t="n"/>
      <c r="Q40" s="21">
        <f>IF(B40="","",SUM(E40:P40))</f>
        <v/>
      </c>
      <c r="R40" s="21">
        <f>IF(OR(B40="",D40=""),"",ROUND(D40*Panel!$C$7+Vecinos!H40*MAX(0,MIN(Panel!$C$11,Panel!$C$7-Panel!$C$12+1)),2))</f>
        <v/>
      </c>
      <c r="S40" s="29">
        <f>IF(R40="","",MAX(0,ROUND(R40-Q40,2)))</f>
        <v/>
      </c>
      <c r="T40" s="32">
        <f>IF(OR(S40="",D40="",D40=0),"",ROUND(S40/D40,1))</f>
        <v/>
      </c>
      <c r="U40" s="23">
        <f>IF(S40="","",IF(S40&lt;0.005,"Al corriente",IF(S40&gt;=Panel!$C$13*D40-0.005,"Moroso","Con retraso")))</f>
        <v/>
      </c>
      <c r="V40" s="42">
        <f>IF(S40="","",IF(S40&gt;=0.005,S40+ROW()/10000000,""))</f>
        <v/>
      </c>
    </row>
    <row r="41">
      <c r="B41" s="40">
        <f>IF(Vecinos!B41="","",Vecinos!B41)</f>
        <v/>
      </c>
      <c r="C41" s="31">
        <f>IF(Vecinos!B41="","",Vecinos!C41&amp;"")</f>
        <v/>
      </c>
      <c r="D41" s="21">
        <f>IF(Vecinos!E41="","",Vecinos!E41)</f>
        <v/>
      </c>
      <c r="E41" s="41" t="n"/>
      <c r="F41" s="41" t="n"/>
      <c r="G41" s="41" t="n"/>
      <c r="H41" s="41" t="n"/>
      <c r="I41" s="41" t="n"/>
      <c r="J41" s="41" t="n"/>
      <c r="K41" s="41" t="n"/>
      <c r="L41" s="41" t="n"/>
      <c r="M41" s="41" t="n"/>
      <c r="N41" s="41" t="n"/>
      <c r="O41" s="41" t="n"/>
      <c r="P41" s="41" t="n"/>
      <c r="Q41" s="21">
        <f>IF(B41="","",SUM(E41:P41))</f>
        <v/>
      </c>
      <c r="R41" s="21">
        <f>IF(OR(B41="",D41=""),"",ROUND(D41*Panel!$C$7+Vecinos!H41*MAX(0,MIN(Panel!$C$11,Panel!$C$7-Panel!$C$12+1)),2))</f>
        <v/>
      </c>
      <c r="S41" s="29">
        <f>IF(R41="","",MAX(0,ROUND(R41-Q41,2)))</f>
        <v/>
      </c>
      <c r="T41" s="32">
        <f>IF(OR(S41="",D41="",D41=0),"",ROUND(S41/D41,1))</f>
        <v/>
      </c>
      <c r="U41" s="23">
        <f>IF(S41="","",IF(S41&lt;0.005,"Al corriente",IF(S41&gt;=Panel!$C$13*D41-0.005,"Moroso","Con retraso")))</f>
        <v/>
      </c>
      <c r="V41" s="42">
        <f>IF(S41="","",IF(S41&gt;=0.005,S41+ROW()/10000000,""))</f>
        <v/>
      </c>
    </row>
    <row r="42">
      <c r="B42" s="40">
        <f>IF(Vecinos!B42="","",Vecinos!B42)</f>
        <v/>
      </c>
      <c r="C42" s="31">
        <f>IF(Vecinos!B42="","",Vecinos!C42&amp;"")</f>
        <v/>
      </c>
      <c r="D42" s="21">
        <f>IF(Vecinos!E42="","",Vecinos!E42)</f>
        <v/>
      </c>
      <c r="E42" s="41" t="n"/>
      <c r="F42" s="41" t="n"/>
      <c r="G42" s="41" t="n"/>
      <c r="H42" s="41" t="n"/>
      <c r="I42" s="41" t="n"/>
      <c r="J42" s="41" t="n"/>
      <c r="K42" s="41" t="n"/>
      <c r="L42" s="41" t="n"/>
      <c r="M42" s="41" t="n"/>
      <c r="N42" s="41" t="n"/>
      <c r="O42" s="41" t="n"/>
      <c r="P42" s="41" t="n"/>
      <c r="Q42" s="21">
        <f>IF(B42="","",SUM(E42:P42))</f>
        <v/>
      </c>
      <c r="R42" s="21">
        <f>IF(OR(B42="",D42=""),"",ROUND(D42*Panel!$C$7+Vecinos!H42*MAX(0,MIN(Panel!$C$11,Panel!$C$7-Panel!$C$12+1)),2))</f>
        <v/>
      </c>
      <c r="S42" s="29">
        <f>IF(R42="","",MAX(0,ROUND(R42-Q42,2)))</f>
        <v/>
      </c>
      <c r="T42" s="32">
        <f>IF(OR(S42="",D42="",D42=0),"",ROUND(S42/D42,1))</f>
        <v/>
      </c>
      <c r="U42" s="23">
        <f>IF(S42="","",IF(S42&lt;0.005,"Al corriente",IF(S42&gt;=Panel!$C$13*D42-0.005,"Moroso","Con retraso")))</f>
        <v/>
      </c>
      <c r="V42" s="42">
        <f>IF(S42="","",IF(S42&gt;=0.005,S42+ROW()/10000000,""))</f>
        <v/>
      </c>
    </row>
    <row r="43">
      <c r="B43" s="40">
        <f>IF(Vecinos!B43="","",Vecinos!B43)</f>
        <v/>
      </c>
      <c r="C43" s="31">
        <f>IF(Vecinos!B43="","",Vecinos!C43&amp;"")</f>
        <v/>
      </c>
      <c r="D43" s="21">
        <f>IF(Vecinos!E43="","",Vecinos!E43)</f>
        <v/>
      </c>
      <c r="E43" s="41" t="n"/>
      <c r="F43" s="41" t="n"/>
      <c r="G43" s="41" t="n"/>
      <c r="H43" s="41" t="n"/>
      <c r="I43" s="41" t="n"/>
      <c r="J43" s="41" t="n"/>
      <c r="K43" s="41" t="n"/>
      <c r="L43" s="41" t="n"/>
      <c r="M43" s="41" t="n"/>
      <c r="N43" s="41" t="n"/>
      <c r="O43" s="41" t="n"/>
      <c r="P43" s="41" t="n"/>
      <c r="Q43" s="21">
        <f>IF(B43="","",SUM(E43:P43))</f>
        <v/>
      </c>
      <c r="R43" s="21">
        <f>IF(OR(B43="",D43=""),"",ROUND(D43*Panel!$C$7+Vecinos!H43*MAX(0,MIN(Panel!$C$11,Panel!$C$7-Panel!$C$12+1)),2))</f>
        <v/>
      </c>
      <c r="S43" s="29">
        <f>IF(R43="","",MAX(0,ROUND(R43-Q43,2)))</f>
        <v/>
      </c>
      <c r="T43" s="32">
        <f>IF(OR(S43="",D43="",D43=0),"",ROUND(S43/D43,1))</f>
        <v/>
      </c>
      <c r="U43" s="23">
        <f>IF(S43="","",IF(S43&lt;0.005,"Al corriente",IF(S43&gt;=Panel!$C$13*D43-0.005,"Moroso","Con retraso")))</f>
        <v/>
      </c>
      <c r="V43" s="42">
        <f>IF(S43="","",IF(S43&gt;=0.005,S43+ROW()/10000000,""))</f>
        <v/>
      </c>
    </row>
    <row r="44">
      <c r="B44" s="40">
        <f>IF(Vecinos!B44="","",Vecinos!B44)</f>
        <v/>
      </c>
      <c r="C44" s="31">
        <f>IF(Vecinos!B44="","",Vecinos!C44&amp;"")</f>
        <v/>
      </c>
      <c r="D44" s="21">
        <f>IF(Vecinos!E44="","",Vecinos!E44)</f>
        <v/>
      </c>
      <c r="E44" s="41" t="n"/>
      <c r="F44" s="41" t="n"/>
      <c r="G44" s="41" t="n"/>
      <c r="H44" s="41" t="n"/>
      <c r="I44" s="41" t="n"/>
      <c r="J44" s="41" t="n"/>
      <c r="K44" s="41" t="n"/>
      <c r="L44" s="41" t="n"/>
      <c r="M44" s="41" t="n"/>
      <c r="N44" s="41" t="n"/>
      <c r="O44" s="41" t="n"/>
      <c r="P44" s="41" t="n"/>
      <c r="Q44" s="21">
        <f>IF(B44="","",SUM(E44:P44))</f>
        <v/>
      </c>
      <c r="R44" s="21">
        <f>IF(OR(B44="",D44=""),"",ROUND(D44*Panel!$C$7+Vecinos!H44*MAX(0,MIN(Panel!$C$11,Panel!$C$7-Panel!$C$12+1)),2))</f>
        <v/>
      </c>
      <c r="S44" s="29">
        <f>IF(R44="","",MAX(0,ROUND(R44-Q44,2)))</f>
        <v/>
      </c>
      <c r="T44" s="32">
        <f>IF(OR(S44="",D44="",D44=0),"",ROUND(S44/D44,1))</f>
        <v/>
      </c>
      <c r="U44" s="23">
        <f>IF(S44="","",IF(S44&lt;0.005,"Al corriente",IF(S44&gt;=Panel!$C$13*D44-0.005,"Moroso","Con retraso")))</f>
        <v/>
      </c>
      <c r="V44" s="42">
        <f>IF(S44="","",IF(S44&gt;=0.005,S44+ROW()/10000000,""))</f>
        <v/>
      </c>
    </row>
    <row r="45">
      <c r="B45" s="40">
        <f>IF(Vecinos!B45="","",Vecinos!B45)</f>
        <v/>
      </c>
      <c r="C45" s="31">
        <f>IF(Vecinos!B45="","",Vecinos!C45&amp;"")</f>
        <v/>
      </c>
      <c r="D45" s="21">
        <f>IF(Vecinos!E45="","",Vecinos!E45)</f>
        <v/>
      </c>
      <c r="E45" s="41" t="n"/>
      <c r="F45" s="41" t="n"/>
      <c r="G45" s="41" t="n"/>
      <c r="H45" s="41" t="n"/>
      <c r="I45" s="41" t="n"/>
      <c r="J45" s="41" t="n"/>
      <c r="K45" s="41" t="n"/>
      <c r="L45" s="41" t="n"/>
      <c r="M45" s="41" t="n"/>
      <c r="N45" s="41" t="n"/>
      <c r="O45" s="41" t="n"/>
      <c r="P45" s="41" t="n"/>
      <c r="Q45" s="21">
        <f>IF(B45="","",SUM(E45:P45))</f>
        <v/>
      </c>
      <c r="R45" s="21">
        <f>IF(OR(B45="",D45=""),"",ROUND(D45*Panel!$C$7+Vecinos!H45*MAX(0,MIN(Panel!$C$11,Panel!$C$7-Panel!$C$12+1)),2))</f>
        <v/>
      </c>
      <c r="S45" s="29">
        <f>IF(R45="","",MAX(0,ROUND(R45-Q45,2)))</f>
        <v/>
      </c>
      <c r="T45" s="32">
        <f>IF(OR(S45="",D45="",D45=0),"",ROUND(S45/D45,1))</f>
        <v/>
      </c>
      <c r="U45" s="23">
        <f>IF(S45="","",IF(S45&lt;0.005,"Al corriente",IF(S45&gt;=Panel!$C$13*D45-0.005,"Moroso","Con retraso")))</f>
        <v/>
      </c>
      <c r="V45" s="42">
        <f>IF(S45="","",IF(S45&gt;=0.005,S45+ROW()/10000000,""))</f>
        <v/>
      </c>
    </row>
    <row r="46">
      <c r="B46" s="40">
        <f>IF(Vecinos!B46="","",Vecinos!B46)</f>
        <v/>
      </c>
      <c r="C46" s="31">
        <f>IF(Vecinos!B46="","",Vecinos!C46&amp;"")</f>
        <v/>
      </c>
      <c r="D46" s="21">
        <f>IF(Vecinos!E46="","",Vecinos!E46)</f>
        <v/>
      </c>
      <c r="E46" s="41" t="n"/>
      <c r="F46" s="41" t="n"/>
      <c r="G46" s="41" t="n"/>
      <c r="H46" s="41" t="n"/>
      <c r="I46" s="41" t="n"/>
      <c r="J46" s="41" t="n"/>
      <c r="K46" s="41" t="n"/>
      <c r="L46" s="41" t="n"/>
      <c r="M46" s="41" t="n"/>
      <c r="N46" s="41" t="n"/>
      <c r="O46" s="41" t="n"/>
      <c r="P46" s="41" t="n"/>
      <c r="Q46" s="21">
        <f>IF(B46="","",SUM(E46:P46))</f>
        <v/>
      </c>
      <c r="R46" s="21">
        <f>IF(OR(B46="",D46=""),"",ROUND(D46*Panel!$C$7+Vecinos!H46*MAX(0,MIN(Panel!$C$11,Panel!$C$7-Panel!$C$12+1)),2))</f>
        <v/>
      </c>
      <c r="S46" s="29">
        <f>IF(R46="","",MAX(0,ROUND(R46-Q46,2)))</f>
        <v/>
      </c>
      <c r="T46" s="32">
        <f>IF(OR(S46="",D46="",D46=0),"",ROUND(S46/D46,1))</f>
        <v/>
      </c>
      <c r="U46" s="23">
        <f>IF(S46="","",IF(S46&lt;0.005,"Al corriente",IF(S46&gt;=Panel!$C$13*D46-0.005,"Moroso","Con retraso")))</f>
        <v/>
      </c>
      <c r="V46" s="42">
        <f>IF(S46="","",IF(S46&gt;=0.005,S46+ROW()/10000000,""))</f>
        <v/>
      </c>
    </row>
    <row r="47">
      <c r="B47" s="25" t="inlineStr">
        <is>
          <t>Total</t>
        </is>
      </c>
      <c r="C47" s="28" t="n"/>
      <c r="D47" s="28" t="n"/>
      <c r="E47" s="43">
        <f>SUM(E7:E46)</f>
        <v/>
      </c>
      <c r="F47" s="43">
        <f>SUM(F7:F46)</f>
        <v/>
      </c>
      <c r="G47" s="43">
        <f>SUM(G7:G46)</f>
        <v/>
      </c>
      <c r="H47" s="43">
        <f>SUM(H7:H46)</f>
        <v/>
      </c>
      <c r="I47" s="43">
        <f>SUM(I7:I46)</f>
        <v/>
      </c>
      <c r="J47" s="43">
        <f>SUM(J7:J46)</f>
        <v/>
      </c>
      <c r="K47" s="43">
        <f>SUM(K7:K46)</f>
        <v/>
      </c>
      <c r="L47" s="43">
        <f>SUM(L7:L46)</f>
        <v/>
      </c>
      <c r="M47" s="43">
        <f>SUM(M7:M46)</f>
        <v/>
      </c>
      <c r="N47" s="43">
        <f>SUM(N7:N46)</f>
        <v/>
      </c>
      <c r="O47" s="43">
        <f>SUM(O7:O46)</f>
        <v/>
      </c>
      <c r="P47" s="43">
        <f>SUM(P7:P46)</f>
        <v/>
      </c>
      <c r="Q47" s="26">
        <f>SUM(Q7:Q46)</f>
        <v/>
      </c>
      <c r="R47" s="26">
        <f>SUM(R7:R46)</f>
        <v/>
      </c>
      <c r="S47" s="26">
        <f>SUM(S7:S46)</f>
        <v/>
      </c>
    </row>
    <row r="49">
      <c r="B49" s="7" t="inlineStr">
        <is>
          <t>Escribe el importe realmente ingresado, aunque sea parcial. La columna Clave es una ayuda para ordenar las mayores deudas en el Panel: no la modifiques.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4:C4"/>
    <mergeCell ref="B3:V3"/>
    <mergeCell ref="B2:V2"/>
  </mergeCells>
  <conditionalFormatting sqref="U7:U46">
    <cfRule type="cellIs" priority="1" operator="equal" dxfId="0">
      <formula>"Moroso"</formula>
    </cfRule>
    <cfRule type="cellIs" priority="2" operator="equal" dxfId="1">
      <formula>"Con retraso"</formula>
    </cfRule>
    <cfRule type="cellIs" priority="3" operator="equal" dxfId="2">
      <formula>"Al corriente"</formula>
    </cfRule>
  </conditionalFormatting>
  <conditionalFormatting sqref="S7:S46">
    <cfRule type="dataBar" priority="4">
      <dataBar>
        <cfvo type="num" val="0"/>
        <cfvo type="max"/>
        <color rgb="00F87171"/>
      </dataBar>
    </cfRule>
  </conditionalFormatting>
  <dataValidations count="1">
    <dataValidation sqref="E7:P46" showDropDown="0" showInputMessage="0" showErrorMessage="0" allowBlank="1" errorTitle="Importe no válido" error="Escribe el importe ingresado (número igual o mayor que 0)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B2:H58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30" customWidth="1" min="3" max="3"/>
    <col width="26" customWidth="1" min="4" max="4"/>
    <col width="42" customWidth="1" min="5" max="5"/>
    <col width="14" customWidth="1" min="6" max="6"/>
    <col width="13" customWidth="1" min="7" max="7"/>
    <col width="18" customWidth="1" min="8" max="8"/>
  </cols>
  <sheetData>
    <row r="2" ht="34" customHeight="1">
      <c r="B2" s="1" t="inlineStr">
        <is>
          <t>Registro de gastos de la comunidad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Anota cada factura o pago: fecha, partida, proveedor, concepto e importe. Marca si está pagada o pendiente.</t>
        </is>
      </c>
    </row>
    <row r="4">
      <c r="B4" s="5" t="inlineStr">
        <is>
          <t>Total registrado:</t>
        </is>
      </c>
      <c r="D4" s="13">
        <f>SUM(F7:F56)</f>
        <v/>
      </c>
      <c r="E4" s="44" t="inlineStr">
        <is>
          <t>Pendiente de pago:</t>
        </is>
      </c>
      <c r="F4" s="29">
        <f>SUMIF(G7:G56,"Pendiente",F7:F56)</f>
        <v/>
      </c>
    </row>
    <row r="6" ht="28" customHeight="1">
      <c r="B6" s="18" t="inlineStr">
        <is>
          <t>Fecha</t>
        </is>
      </c>
      <c r="C6" s="18" t="inlineStr">
        <is>
          <t>Partida</t>
        </is>
      </c>
      <c r="D6" s="18" t="inlineStr">
        <is>
          <t>Proveedor</t>
        </is>
      </c>
      <c r="E6" s="18" t="inlineStr">
        <is>
          <t>Concepto</t>
        </is>
      </c>
      <c r="F6" s="18" t="inlineStr">
        <is>
          <t>Importe</t>
        </is>
      </c>
      <c r="G6" s="18" t="inlineStr">
        <is>
          <t>Estado</t>
        </is>
      </c>
      <c r="H6" s="18" t="inlineStr">
        <is>
          <t>Alerta</t>
        </is>
      </c>
    </row>
    <row r="7">
      <c r="B7" s="45" t="n">
        <v>46032</v>
      </c>
      <c r="C7" s="19" t="inlineStr">
        <is>
          <t>Administración de fincas</t>
        </is>
      </c>
      <c r="D7" s="19" t="inlineStr">
        <is>
          <t>Administración Lara Fincas</t>
        </is>
      </c>
      <c r="E7" s="19" t="inlineStr">
        <is>
          <t>Honorarios de administración (1.er semestre)</t>
        </is>
      </c>
      <c r="F7" s="20" t="n">
        <v>1200</v>
      </c>
      <c r="G7" s="37" t="inlineStr">
        <is>
          <t>Pagado</t>
        </is>
      </c>
      <c r="H7" s="23">
        <f>IF(OR(C7="",F7=""),"",IF(IFERROR(SUMIF($C$7:$C$56,C7,$F$7:$F$56)&gt;VLOOKUP(C7,Panel!$B$25:$C$34,2,FALSE),FALSE),"Partida excedida",""))</f>
        <v/>
      </c>
    </row>
    <row r="8">
      <c r="B8" s="45" t="n">
        <v>46037</v>
      </c>
      <c r="C8" s="19" t="inlineStr">
        <is>
          <t>Mantenimiento del ascensor</t>
        </is>
      </c>
      <c r="D8" s="19" t="inlineStr">
        <is>
          <t>Ascensores Norte S.A.</t>
        </is>
      </c>
      <c r="E8" s="19" t="inlineStr">
        <is>
          <t>Mantenimiento trimestral del ascensor</t>
        </is>
      </c>
      <c r="F8" s="20" t="n">
        <v>462.5</v>
      </c>
      <c r="G8" s="37" t="inlineStr">
        <is>
          <t>Pagado</t>
        </is>
      </c>
      <c r="H8" s="23">
        <f>IF(OR(C8="",F8=""),"",IF(IFERROR(SUMIF($C$7:$C$56,C8,$F$7:$F$56)&gt;VLOOKUP(C8,Panel!$B$25:$C$34,2,FALSE),FALSE),"Partida excedida",""))</f>
        <v/>
      </c>
    </row>
    <row r="9">
      <c r="B9" s="45" t="n">
        <v>46056</v>
      </c>
      <c r="C9" s="19" t="inlineStr">
        <is>
          <t>Seguro del edificio</t>
        </is>
      </c>
      <c r="D9" s="19" t="inlineStr">
        <is>
          <t>Seguros Horizonte</t>
        </is>
      </c>
      <c r="E9" s="19" t="inlineStr">
        <is>
          <t>Póliza multirriesgo del edificio (anual)</t>
        </is>
      </c>
      <c r="F9" s="20" t="n">
        <v>2290.4</v>
      </c>
      <c r="G9" s="37" t="inlineStr">
        <is>
          <t>Pagado</t>
        </is>
      </c>
      <c r="H9" s="23">
        <f>IF(OR(C9="",F9=""),"",IF(IFERROR(SUMIF($C$7:$C$56,C9,$F$7:$F$56)&gt;VLOOKUP(C9,Panel!$B$25:$C$34,2,FALSE),FALSE),"Partida excedida",""))</f>
        <v/>
      </c>
    </row>
    <row r="10">
      <c r="B10" s="45" t="n">
        <v>46090</v>
      </c>
      <c r="C10" s="19" t="inlineStr">
        <is>
          <t>Reparaciones y conservación</t>
        </is>
      </c>
      <c r="D10" s="19" t="inlineStr">
        <is>
          <t>Cerrajería Rápida</t>
        </is>
      </c>
      <c r="E10" s="19" t="inlineStr">
        <is>
          <t>Cambio del portero automático</t>
        </is>
      </c>
      <c r="F10" s="20" t="n">
        <v>380.6</v>
      </c>
      <c r="G10" s="37" t="inlineStr">
        <is>
          <t>Pagado</t>
        </is>
      </c>
      <c r="H10" s="23">
        <f>IF(OR(C10="",F10=""),"",IF(IFERROR(SUMIF($C$7:$C$56,C10,$F$7:$F$56)&gt;VLOOKUP(C10,Panel!$B$25:$C$34,2,FALSE),FALSE),"Partida excedida",""))</f>
        <v/>
      </c>
    </row>
    <row r="11">
      <c r="B11" s="45" t="n">
        <v>46093</v>
      </c>
      <c r="C11" s="19" t="inlineStr">
        <is>
          <t>Electricidad de zonas comunes</t>
        </is>
      </c>
      <c r="D11" s="19" t="inlineStr">
        <is>
          <t>Eléctrica del Sur</t>
        </is>
      </c>
      <c r="E11" s="19" t="inlineStr">
        <is>
          <t>Luz de zonas comunes (trimestre)</t>
        </is>
      </c>
      <c r="F11" s="20" t="n">
        <v>468.2</v>
      </c>
      <c r="G11" s="37" t="inlineStr">
        <is>
          <t>Pagado</t>
        </is>
      </c>
      <c r="H11" s="23">
        <f>IF(OR(C11="",F11=""),"",IF(IFERROR(SUMIF($C$7:$C$56,C11,$F$7:$F$56)&gt;VLOOKUP(C11,Panel!$B$25:$C$34,2,FALSE),FALSE),"Partida excedida",""))</f>
        <v/>
      </c>
    </row>
    <row r="12">
      <c r="B12" s="45" t="n">
        <v>46112</v>
      </c>
      <c r="C12" s="19" t="inlineStr">
        <is>
          <t>Limpieza de portal y escaleras</t>
        </is>
      </c>
      <c r="D12" s="19" t="inlineStr">
        <is>
          <t>Limpieza Brillante S.L.</t>
        </is>
      </c>
      <c r="E12" s="19" t="inlineStr">
        <is>
          <t>Limpieza de portal y escaleras (trimestre)</t>
        </is>
      </c>
      <c r="F12" s="20" t="n">
        <v>1350</v>
      </c>
      <c r="G12" s="37" t="inlineStr">
        <is>
          <t>Pagado</t>
        </is>
      </c>
      <c r="H12" s="23">
        <f>IF(OR(C12="",F12=""),"",IF(IFERROR(SUMIF($C$7:$C$56,C12,$F$7:$F$56)&gt;VLOOKUP(C12,Panel!$B$25:$C$34,2,FALSE),FALSE),"Partida excedida",""))</f>
        <v/>
      </c>
    </row>
    <row r="13">
      <c r="B13" s="45" t="n">
        <v>46127</v>
      </c>
      <c r="C13" s="19" t="inlineStr">
        <is>
          <t>Mantenimiento del ascensor</t>
        </is>
      </c>
      <c r="D13" s="19" t="inlineStr">
        <is>
          <t>Ascensores Norte S.A.</t>
        </is>
      </c>
      <c r="E13" s="19" t="inlineStr">
        <is>
          <t>Mantenimiento trimestral del ascensor</t>
        </is>
      </c>
      <c r="F13" s="20" t="n">
        <v>462.5</v>
      </c>
      <c r="G13" s="37" t="inlineStr">
        <is>
          <t>Pagado</t>
        </is>
      </c>
      <c r="H13" s="23">
        <f>IF(OR(C13="",F13=""),"",IF(IFERROR(SUMIF($C$7:$C$56,C13,$F$7:$F$56)&gt;VLOOKUP(C13,Panel!$B$25:$C$34,2,FALSE),FALSE),"Partida excedida",""))</f>
        <v/>
      </c>
    </row>
    <row r="14">
      <c r="B14" s="45" t="n">
        <v>46130</v>
      </c>
      <c r="C14" s="19" t="inlineStr">
        <is>
          <t>Agua de zonas comunes</t>
        </is>
      </c>
      <c r="D14" s="19" t="inlineStr">
        <is>
          <t>Aguas del Valle</t>
        </is>
      </c>
      <c r="E14" s="19" t="inlineStr">
        <is>
          <t>Agua de zonas comunes (semestre)</t>
        </is>
      </c>
      <c r="F14" s="20" t="n">
        <v>331.2</v>
      </c>
      <c r="G14" s="37" t="inlineStr">
        <is>
          <t>Pagado</t>
        </is>
      </c>
      <c r="H14" s="23">
        <f>IF(OR(C14="",F14=""),"",IF(IFERROR(SUMIF($C$7:$C$56,C14,$F$7:$F$56)&gt;VLOOKUP(C14,Panel!$B$25:$C$34,2,FALSE),FALSE),"Partida excedida",""))</f>
        <v/>
      </c>
    </row>
    <row r="15">
      <c r="B15" s="45" t="n">
        <v>46134</v>
      </c>
      <c r="C15" s="19" t="inlineStr">
        <is>
          <t>Jardinería y patio</t>
        </is>
      </c>
      <c r="D15" s="19" t="inlineStr">
        <is>
          <t>Jardines Verdemar</t>
        </is>
      </c>
      <c r="E15" s="19" t="inlineStr">
        <is>
          <t>Poda y limpieza del patio</t>
        </is>
      </c>
      <c r="F15" s="20" t="n">
        <v>300</v>
      </c>
      <c r="G15" s="37" t="inlineStr">
        <is>
          <t>Pagado</t>
        </is>
      </c>
      <c r="H15" s="23">
        <f>IF(OR(C15="",F15=""),"",IF(IFERROR(SUMIF($C$7:$C$56,C15,$F$7:$F$56)&gt;VLOOKUP(C15,Panel!$B$25:$C$34,2,FALSE),FALSE),"Partida excedida",""))</f>
        <v/>
      </c>
    </row>
    <row r="16">
      <c r="B16" s="45" t="n">
        <v>46156</v>
      </c>
      <c r="C16" s="19" t="inlineStr">
        <is>
          <t>Otros gastos</t>
        </is>
      </c>
      <c r="D16" s="19" t="inlineStr">
        <is>
          <t>Copistería Centro</t>
        </is>
      </c>
      <c r="E16" s="19" t="inlineStr">
        <is>
          <t>Copias de llaves y rótulos de buzones</t>
        </is>
      </c>
      <c r="F16" s="20" t="n">
        <v>85</v>
      </c>
      <c r="G16" s="37" t="inlineStr">
        <is>
          <t>Pagado</t>
        </is>
      </c>
      <c r="H16" s="23">
        <f>IF(OR(C16="",F16=""),"",IF(IFERROR(SUMIF($C$7:$C$56,C16,$F$7:$F$56)&gt;VLOOKUP(C16,Panel!$B$25:$C$34,2,FALSE),FALSE),"Partida excedida",""))</f>
        <v/>
      </c>
    </row>
    <row r="17">
      <c r="B17" s="45" t="n">
        <v>46184</v>
      </c>
      <c r="C17" s="19" t="inlineStr">
        <is>
          <t>Electricidad de zonas comunes</t>
        </is>
      </c>
      <c r="D17" s="19" t="inlineStr">
        <is>
          <t>Eléctrica del Sur</t>
        </is>
      </c>
      <c r="E17" s="19" t="inlineStr">
        <is>
          <t>Luz de zonas comunes (trimestre)</t>
        </is>
      </c>
      <c r="F17" s="20" t="n">
        <v>452.75</v>
      </c>
      <c r="G17" s="37" t="inlineStr">
        <is>
          <t>Pagado</t>
        </is>
      </c>
      <c r="H17" s="23">
        <f>IF(OR(C17="",F17=""),"",IF(IFERROR(SUMIF($C$7:$C$56,C17,$F$7:$F$56)&gt;VLOOKUP(C17,Panel!$B$25:$C$34,2,FALSE),FALSE),"Partida excedida",""))</f>
        <v/>
      </c>
    </row>
    <row r="18">
      <c r="B18" s="45" t="n">
        <v>46197</v>
      </c>
      <c r="C18" s="19" t="inlineStr">
        <is>
          <t>Reparaciones y conservación</t>
        </is>
      </c>
      <c r="D18" s="19" t="inlineStr">
        <is>
          <t>Reformas Soto</t>
        </is>
      </c>
      <c r="E18" s="19" t="inlineStr">
        <is>
          <t>Reparación de filtraciones en el tejado</t>
        </is>
      </c>
      <c r="F18" s="20" t="n">
        <v>1480</v>
      </c>
      <c r="G18" s="37" t="inlineStr">
        <is>
          <t>Pagado</t>
        </is>
      </c>
      <c r="H18" s="23">
        <f>IF(OR(C18="",F18=""),"",IF(IFERROR(SUMIF($C$7:$C$56,C18,$F$7:$F$56)&gt;VLOOKUP(C18,Panel!$B$25:$C$34,2,FALSE),FALSE),"Partida excedida",""))</f>
        <v/>
      </c>
    </row>
    <row r="19">
      <c r="B19" s="45" t="n">
        <v>46203</v>
      </c>
      <c r="C19" s="19" t="inlineStr">
        <is>
          <t>Limpieza de portal y escaleras</t>
        </is>
      </c>
      <c r="D19" s="19" t="inlineStr">
        <is>
          <t>Limpieza Brillante S.L.</t>
        </is>
      </c>
      <c r="E19" s="19" t="inlineStr">
        <is>
          <t>Limpieza de portal y escaleras (trimestre)</t>
        </is>
      </c>
      <c r="F19" s="20" t="n">
        <v>1350</v>
      </c>
      <c r="G19" s="37" t="inlineStr">
        <is>
          <t>Pagado</t>
        </is>
      </c>
      <c r="H19" s="23">
        <f>IF(OR(C19="",F19=""),"",IF(IFERROR(SUMIF($C$7:$C$56,C19,$F$7:$F$56)&gt;VLOOKUP(C19,Panel!$B$25:$C$34,2,FALSE),FALSE),"Partida excedida",""))</f>
        <v/>
      </c>
    </row>
    <row r="20">
      <c r="B20" s="45" t="n">
        <v>46213</v>
      </c>
      <c r="C20" s="19" t="inlineStr">
        <is>
          <t>Administración de fincas</t>
        </is>
      </c>
      <c r="D20" s="19" t="inlineStr">
        <is>
          <t>Administración Lara Fincas</t>
        </is>
      </c>
      <c r="E20" s="19" t="inlineStr">
        <is>
          <t>Honorarios de administración (2.º semestre)</t>
        </is>
      </c>
      <c r="F20" s="20" t="n">
        <v>1200</v>
      </c>
      <c r="G20" s="37" t="inlineStr">
        <is>
          <t>Pagado</t>
        </is>
      </c>
      <c r="H20" s="23">
        <f>IF(OR(C20="",F20=""),"",IF(IFERROR(SUMIF($C$7:$C$56,C20,$F$7:$F$56)&gt;VLOOKUP(C20,Panel!$B$25:$C$34,2,FALSE),FALSE),"Partida excedida",""))</f>
        <v/>
      </c>
    </row>
    <row r="21">
      <c r="B21" s="45" t="n">
        <v>46218</v>
      </c>
      <c r="C21" s="19" t="inlineStr">
        <is>
          <t>Mantenimiento del ascensor</t>
        </is>
      </c>
      <c r="D21" s="19" t="inlineStr">
        <is>
          <t>Ascensores Norte S.A.</t>
        </is>
      </c>
      <c r="E21" s="19" t="inlineStr">
        <is>
          <t>Mantenimiento trimestral del ascensor</t>
        </is>
      </c>
      <c r="F21" s="20" t="n">
        <v>462.5</v>
      </c>
      <c r="G21" s="37" t="inlineStr">
        <is>
          <t>Pagado</t>
        </is>
      </c>
      <c r="H21" s="23">
        <f>IF(OR(C21="",F21=""),"",IF(IFERROR(SUMIF($C$7:$C$56,C21,$F$7:$F$56)&gt;VLOOKUP(C21,Panel!$B$25:$C$34,2,FALSE),FALSE),"Partida excedida",""))</f>
        <v/>
      </c>
    </row>
    <row r="22">
      <c r="B22" s="45" t="n">
        <v>46223</v>
      </c>
      <c r="C22" s="19" t="inlineStr">
        <is>
          <t>Obra extraordinaria (derrama)</t>
        </is>
      </c>
      <c r="D22" s="19" t="inlineStr">
        <is>
          <t>Fontanería Ríos</t>
        </is>
      </c>
      <c r="E22" s="19" t="inlineStr">
        <is>
          <t>Sustitución de un tramo de la bajante general</t>
        </is>
      </c>
      <c r="F22" s="20" t="n">
        <v>4150</v>
      </c>
      <c r="G22" s="37" t="inlineStr">
        <is>
          <t>Pagado</t>
        </is>
      </c>
      <c r="H22" s="23">
        <f>IF(OR(C22="",F22=""),"",IF(IFERROR(SUMIF($C$7:$C$56,C22,$F$7:$F$56)&gt;VLOOKUP(C22,Panel!$B$25:$C$34,2,FALSE),FALSE),"Partida excedida",""))</f>
        <v/>
      </c>
    </row>
    <row r="23">
      <c r="B23" s="45" t="n">
        <v>46260</v>
      </c>
      <c r="C23" s="19" t="inlineStr">
        <is>
          <t>Reparaciones y conservación</t>
        </is>
      </c>
      <c r="D23" s="19" t="inlineStr">
        <is>
          <t>Pinturas Medina</t>
        </is>
      </c>
      <c r="E23" s="19" t="inlineStr">
        <is>
          <t>Pintura del portal</t>
        </is>
      </c>
      <c r="F23" s="20" t="n">
        <v>1120</v>
      </c>
      <c r="G23" s="37" t="inlineStr">
        <is>
          <t>Pagado</t>
        </is>
      </c>
      <c r="H23" s="23">
        <f>IF(OR(C23="",F23=""),"",IF(IFERROR(SUMIF($C$7:$C$56,C23,$F$7:$F$56)&gt;VLOOKUP(C23,Panel!$B$25:$C$34,2,FALSE),FALSE),"Partida excedida",""))</f>
        <v/>
      </c>
    </row>
    <row r="24">
      <c r="B24" s="45" t="n">
        <v>46275</v>
      </c>
      <c r="C24" s="19" t="inlineStr">
        <is>
          <t>Electricidad de zonas comunes</t>
        </is>
      </c>
      <c r="D24" s="19" t="inlineStr">
        <is>
          <t>Eléctrica del Sur</t>
        </is>
      </c>
      <c r="E24" s="19" t="inlineStr">
        <is>
          <t>Luz de zonas comunes (trimestre)</t>
        </is>
      </c>
      <c r="F24" s="20" t="n">
        <v>489.6</v>
      </c>
      <c r="G24" s="37" t="inlineStr">
        <is>
          <t>Pagado</t>
        </is>
      </c>
      <c r="H24" s="23">
        <f>IF(OR(C24="",F24=""),"",IF(IFERROR(SUMIF($C$7:$C$56,C24,$F$7:$F$56)&gt;VLOOKUP(C24,Panel!$B$25:$C$34,2,FALSE),FALSE),"Partida excedida",""))</f>
        <v/>
      </c>
    </row>
    <row r="25">
      <c r="B25" s="45" t="n">
        <v>46280</v>
      </c>
      <c r="C25" s="19" t="inlineStr">
        <is>
          <t>Jardinería y patio</t>
        </is>
      </c>
      <c r="D25" s="19" t="inlineStr">
        <is>
          <t>Jardines Verdemar</t>
        </is>
      </c>
      <c r="E25" s="19" t="inlineStr">
        <is>
          <t>Mantenimiento del patio (septiembre)</t>
        </is>
      </c>
      <c r="F25" s="20" t="n">
        <v>210</v>
      </c>
      <c r="G25" s="37" t="inlineStr">
        <is>
          <t>Pendiente</t>
        </is>
      </c>
      <c r="H25" s="23">
        <f>IF(OR(C25="",F25=""),"",IF(IFERROR(SUMIF($C$7:$C$56,C25,$F$7:$F$56)&gt;VLOOKUP(C25,Panel!$B$25:$C$34,2,FALSE),FALSE),"Partida excedida",""))</f>
        <v/>
      </c>
    </row>
    <row r="26">
      <c r="B26" s="45" t="n">
        <v>46282</v>
      </c>
      <c r="C26" s="19" t="inlineStr">
        <is>
          <t>Agua de zonas comunes</t>
        </is>
      </c>
      <c r="D26" s="19" t="inlineStr">
        <is>
          <t>Aguas del Valle</t>
        </is>
      </c>
      <c r="E26" s="19" t="inlineStr">
        <is>
          <t>Agua de zonas comunes (semestre)</t>
        </is>
      </c>
      <c r="F26" s="20" t="n">
        <v>288.9</v>
      </c>
      <c r="G26" s="37" t="inlineStr">
        <is>
          <t>Pagado</t>
        </is>
      </c>
      <c r="H26" s="23">
        <f>IF(OR(C26="",F26=""),"",IF(IFERROR(SUMIF($C$7:$C$56,C26,$F$7:$F$56)&gt;VLOOKUP(C26,Panel!$B$25:$C$34,2,FALSE),FALSE),"Partida excedida",""))</f>
        <v/>
      </c>
    </row>
    <row r="27">
      <c r="B27" s="45" t="n">
        <v>46295</v>
      </c>
      <c r="C27" s="19" t="inlineStr">
        <is>
          <t>Limpieza de portal y escaleras</t>
        </is>
      </c>
      <c r="D27" s="19" t="inlineStr">
        <is>
          <t>Limpieza Brillante S.L.</t>
        </is>
      </c>
      <c r="E27" s="19" t="inlineStr">
        <is>
          <t>Limpieza de portal y escaleras (trimestre)</t>
        </is>
      </c>
      <c r="F27" s="20" t="n">
        <v>1350</v>
      </c>
      <c r="G27" s="37" t="inlineStr">
        <is>
          <t>Pendiente</t>
        </is>
      </c>
      <c r="H27" s="23">
        <f>IF(OR(C27="",F27=""),"",IF(IFERROR(SUMIF($C$7:$C$56,C27,$F$7:$F$56)&gt;VLOOKUP(C27,Panel!$B$25:$C$34,2,FALSE),FALSE),"Partida excedida",""))</f>
        <v/>
      </c>
    </row>
    <row r="28">
      <c r="B28" s="45" t="n"/>
      <c r="C28" s="19" t="n"/>
      <c r="D28" s="19" t="n"/>
      <c r="E28" s="19" t="n"/>
      <c r="F28" s="20" t="n"/>
      <c r="G28" s="37" t="n"/>
      <c r="H28" s="23">
        <f>IF(OR(C28="",F28=""),"",IF(IFERROR(SUMIF($C$7:$C$56,C28,$F$7:$F$56)&gt;VLOOKUP(C28,Panel!$B$25:$C$34,2,FALSE),FALSE),"Partida excedida",""))</f>
        <v/>
      </c>
    </row>
    <row r="29">
      <c r="B29" s="45" t="n"/>
      <c r="C29" s="19" t="n"/>
      <c r="D29" s="19" t="n"/>
      <c r="E29" s="19" t="n"/>
      <c r="F29" s="20" t="n"/>
      <c r="G29" s="37" t="n"/>
      <c r="H29" s="23">
        <f>IF(OR(C29="",F29=""),"",IF(IFERROR(SUMIF($C$7:$C$56,C29,$F$7:$F$56)&gt;VLOOKUP(C29,Panel!$B$25:$C$34,2,FALSE),FALSE),"Partida excedida",""))</f>
        <v/>
      </c>
    </row>
    <row r="30">
      <c r="B30" s="45" t="n"/>
      <c r="C30" s="19" t="n"/>
      <c r="D30" s="19" t="n"/>
      <c r="E30" s="19" t="n"/>
      <c r="F30" s="20" t="n"/>
      <c r="G30" s="37" t="n"/>
      <c r="H30" s="23">
        <f>IF(OR(C30="",F30=""),"",IF(IFERROR(SUMIF($C$7:$C$56,C30,$F$7:$F$56)&gt;VLOOKUP(C30,Panel!$B$25:$C$34,2,FALSE),FALSE),"Partida excedida",""))</f>
        <v/>
      </c>
    </row>
    <row r="31">
      <c r="B31" s="45" t="n"/>
      <c r="C31" s="19" t="n"/>
      <c r="D31" s="19" t="n"/>
      <c r="E31" s="19" t="n"/>
      <c r="F31" s="20" t="n"/>
      <c r="G31" s="37" t="n"/>
      <c r="H31" s="23">
        <f>IF(OR(C31="",F31=""),"",IF(IFERROR(SUMIF($C$7:$C$56,C31,$F$7:$F$56)&gt;VLOOKUP(C31,Panel!$B$25:$C$34,2,FALSE),FALSE),"Partida excedida",""))</f>
        <v/>
      </c>
    </row>
    <row r="32">
      <c r="B32" s="45" t="n"/>
      <c r="C32" s="19" t="n"/>
      <c r="D32" s="19" t="n"/>
      <c r="E32" s="19" t="n"/>
      <c r="F32" s="20" t="n"/>
      <c r="G32" s="37" t="n"/>
      <c r="H32" s="23">
        <f>IF(OR(C32="",F32=""),"",IF(IFERROR(SUMIF($C$7:$C$56,C32,$F$7:$F$56)&gt;VLOOKUP(C32,Panel!$B$25:$C$34,2,FALSE),FALSE),"Partida excedida",""))</f>
        <v/>
      </c>
    </row>
    <row r="33">
      <c r="B33" s="45" t="n"/>
      <c r="C33" s="19" t="n"/>
      <c r="D33" s="19" t="n"/>
      <c r="E33" s="19" t="n"/>
      <c r="F33" s="20" t="n"/>
      <c r="G33" s="37" t="n"/>
      <c r="H33" s="23">
        <f>IF(OR(C33="",F33=""),"",IF(IFERROR(SUMIF($C$7:$C$56,C33,$F$7:$F$56)&gt;VLOOKUP(C33,Panel!$B$25:$C$34,2,FALSE),FALSE),"Partida excedida",""))</f>
        <v/>
      </c>
    </row>
    <row r="34">
      <c r="B34" s="45" t="n"/>
      <c r="C34" s="19" t="n"/>
      <c r="D34" s="19" t="n"/>
      <c r="E34" s="19" t="n"/>
      <c r="F34" s="20" t="n"/>
      <c r="G34" s="37" t="n"/>
      <c r="H34" s="23">
        <f>IF(OR(C34="",F34=""),"",IF(IFERROR(SUMIF($C$7:$C$56,C34,$F$7:$F$56)&gt;VLOOKUP(C34,Panel!$B$25:$C$34,2,FALSE),FALSE),"Partida excedida",""))</f>
        <v/>
      </c>
    </row>
    <row r="35">
      <c r="B35" s="45" t="n"/>
      <c r="C35" s="19" t="n"/>
      <c r="D35" s="19" t="n"/>
      <c r="E35" s="19" t="n"/>
      <c r="F35" s="20" t="n"/>
      <c r="G35" s="37" t="n"/>
      <c r="H35" s="23">
        <f>IF(OR(C35="",F35=""),"",IF(IFERROR(SUMIF($C$7:$C$56,C35,$F$7:$F$56)&gt;VLOOKUP(C35,Panel!$B$25:$C$34,2,FALSE),FALSE),"Partida excedida",""))</f>
        <v/>
      </c>
    </row>
    <row r="36">
      <c r="B36" s="45" t="n"/>
      <c r="C36" s="19" t="n"/>
      <c r="D36" s="19" t="n"/>
      <c r="E36" s="19" t="n"/>
      <c r="F36" s="20" t="n"/>
      <c r="G36" s="37" t="n"/>
      <c r="H36" s="23">
        <f>IF(OR(C36="",F36=""),"",IF(IFERROR(SUMIF($C$7:$C$56,C36,$F$7:$F$56)&gt;VLOOKUP(C36,Panel!$B$25:$C$34,2,FALSE),FALSE),"Partida excedida",""))</f>
        <v/>
      </c>
    </row>
    <row r="37">
      <c r="B37" s="45" t="n"/>
      <c r="C37" s="19" t="n"/>
      <c r="D37" s="19" t="n"/>
      <c r="E37" s="19" t="n"/>
      <c r="F37" s="20" t="n"/>
      <c r="G37" s="37" t="n"/>
      <c r="H37" s="23">
        <f>IF(OR(C37="",F37=""),"",IF(IFERROR(SUMIF($C$7:$C$56,C37,$F$7:$F$56)&gt;VLOOKUP(C37,Panel!$B$25:$C$34,2,FALSE),FALSE),"Partida excedida",""))</f>
        <v/>
      </c>
    </row>
    <row r="38">
      <c r="B38" s="45" t="n"/>
      <c r="C38" s="19" t="n"/>
      <c r="D38" s="19" t="n"/>
      <c r="E38" s="19" t="n"/>
      <c r="F38" s="20" t="n"/>
      <c r="G38" s="37" t="n"/>
      <c r="H38" s="23">
        <f>IF(OR(C38="",F38=""),"",IF(IFERROR(SUMIF($C$7:$C$56,C38,$F$7:$F$56)&gt;VLOOKUP(C38,Panel!$B$25:$C$34,2,FALSE),FALSE),"Partida excedida",""))</f>
        <v/>
      </c>
    </row>
    <row r="39">
      <c r="B39" s="45" t="n"/>
      <c r="C39" s="19" t="n"/>
      <c r="D39" s="19" t="n"/>
      <c r="E39" s="19" t="n"/>
      <c r="F39" s="20" t="n"/>
      <c r="G39" s="37" t="n"/>
      <c r="H39" s="23">
        <f>IF(OR(C39="",F39=""),"",IF(IFERROR(SUMIF($C$7:$C$56,C39,$F$7:$F$56)&gt;VLOOKUP(C39,Panel!$B$25:$C$34,2,FALSE),FALSE),"Partida excedida",""))</f>
        <v/>
      </c>
    </row>
    <row r="40">
      <c r="B40" s="45" t="n"/>
      <c r="C40" s="19" t="n"/>
      <c r="D40" s="19" t="n"/>
      <c r="E40" s="19" t="n"/>
      <c r="F40" s="20" t="n"/>
      <c r="G40" s="37" t="n"/>
      <c r="H40" s="23">
        <f>IF(OR(C40="",F40=""),"",IF(IFERROR(SUMIF($C$7:$C$56,C40,$F$7:$F$56)&gt;VLOOKUP(C40,Panel!$B$25:$C$34,2,FALSE),FALSE),"Partida excedida",""))</f>
        <v/>
      </c>
    </row>
    <row r="41">
      <c r="B41" s="45" t="n"/>
      <c r="C41" s="19" t="n"/>
      <c r="D41" s="19" t="n"/>
      <c r="E41" s="19" t="n"/>
      <c r="F41" s="20" t="n"/>
      <c r="G41" s="37" t="n"/>
      <c r="H41" s="23">
        <f>IF(OR(C41="",F41=""),"",IF(IFERROR(SUMIF($C$7:$C$56,C41,$F$7:$F$56)&gt;VLOOKUP(C41,Panel!$B$25:$C$34,2,FALSE),FALSE),"Partida excedida",""))</f>
        <v/>
      </c>
    </row>
    <row r="42">
      <c r="B42" s="45" t="n"/>
      <c r="C42" s="19" t="n"/>
      <c r="D42" s="19" t="n"/>
      <c r="E42" s="19" t="n"/>
      <c r="F42" s="20" t="n"/>
      <c r="G42" s="37" t="n"/>
      <c r="H42" s="23">
        <f>IF(OR(C42="",F42=""),"",IF(IFERROR(SUMIF($C$7:$C$56,C42,$F$7:$F$56)&gt;VLOOKUP(C42,Panel!$B$25:$C$34,2,FALSE),FALSE),"Partida excedida",""))</f>
        <v/>
      </c>
    </row>
    <row r="43">
      <c r="B43" s="45" t="n"/>
      <c r="C43" s="19" t="n"/>
      <c r="D43" s="19" t="n"/>
      <c r="E43" s="19" t="n"/>
      <c r="F43" s="20" t="n"/>
      <c r="G43" s="37" t="n"/>
      <c r="H43" s="23">
        <f>IF(OR(C43="",F43=""),"",IF(IFERROR(SUMIF($C$7:$C$56,C43,$F$7:$F$56)&gt;VLOOKUP(C43,Panel!$B$25:$C$34,2,FALSE),FALSE),"Partida excedida",""))</f>
        <v/>
      </c>
    </row>
    <row r="44">
      <c r="B44" s="45" t="n"/>
      <c r="C44" s="19" t="n"/>
      <c r="D44" s="19" t="n"/>
      <c r="E44" s="19" t="n"/>
      <c r="F44" s="20" t="n"/>
      <c r="G44" s="37" t="n"/>
      <c r="H44" s="23">
        <f>IF(OR(C44="",F44=""),"",IF(IFERROR(SUMIF($C$7:$C$56,C44,$F$7:$F$56)&gt;VLOOKUP(C44,Panel!$B$25:$C$34,2,FALSE),FALSE),"Partida excedida",""))</f>
        <v/>
      </c>
    </row>
    <row r="45">
      <c r="B45" s="45" t="n"/>
      <c r="C45" s="19" t="n"/>
      <c r="D45" s="19" t="n"/>
      <c r="E45" s="19" t="n"/>
      <c r="F45" s="20" t="n"/>
      <c r="G45" s="37" t="n"/>
      <c r="H45" s="23">
        <f>IF(OR(C45="",F45=""),"",IF(IFERROR(SUMIF($C$7:$C$56,C45,$F$7:$F$56)&gt;VLOOKUP(C45,Panel!$B$25:$C$34,2,FALSE),FALSE),"Partida excedida",""))</f>
        <v/>
      </c>
    </row>
    <row r="46">
      <c r="B46" s="45" t="n"/>
      <c r="C46" s="19" t="n"/>
      <c r="D46" s="19" t="n"/>
      <c r="E46" s="19" t="n"/>
      <c r="F46" s="20" t="n"/>
      <c r="G46" s="37" t="n"/>
      <c r="H46" s="23">
        <f>IF(OR(C46="",F46=""),"",IF(IFERROR(SUMIF($C$7:$C$56,C46,$F$7:$F$56)&gt;VLOOKUP(C46,Panel!$B$25:$C$34,2,FALSE),FALSE),"Partida excedida",""))</f>
        <v/>
      </c>
    </row>
    <row r="47">
      <c r="B47" s="45" t="n"/>
      <c r="C47" s="19" t="n"/>
      <c r="D47" s="19" t="n"/>
      <c r="E47" s="19" t="n"/>
      <c r="F47" s="20" t="n"/>
      <c r="G47" s="37" t="n"/>
      <c r="H47" s="23">
        <f>IF(OR(C47="",F47=""),"",IF(IFERROR(SUMIF($C$7:$C$56,C47,$F$7:$F$56)&gt;VLOOKUP(C47,Panel!$B$25:$C$34,2,FALSE),FALSE),"Partida excedida",""))</f>
        <v/>
      </c>
    </row>
    <row r="48">
      <c r="B48" s="45" t="n"/>
      <c r="C48" s="19" t="n"/>
      <c r="D48" s="19" t="n"/>
      <c r="E48" s="19" t="n"/>
      <c r="F48" s="20" t="n"/>
      <c r="G48" s="37" t="n"/>
      <c r="H48" s="23">
        <f>IF(OR(C48="",F48=""),"",IF(IFERROR(SUMIF($C$7:$C$56,C48,$F$7:$F$56)&gt;VLOOKUP(C48,Panel!$B$25:$C$34,2,FALSE),FALSE),"Partida excedida",""))</f>
        <v/>
      </c>
    </row>
    <row r="49">
      <c r="B49" s="45" t="n"/>
      <c r="C49" s="19" t="n"/>
      <c r="D49" s="19" t="n"/>
      <c r="E49" s="19" t="n"/>
      <c r="F49" s="20" t="n"/>
      <c r="G49" s="37" t="n"/>
      <c r="H49" s="23">
        <f>IF(OR(C49="",F49=""),"",IF(IFERROR(SUMIF($C$7:$C$56,C49,$F$7:$F$56)&gt;VLOOKUP(C49,Panel!$B$25:$C$34,2,FALSE),FALSE),"Partida excedida",""))</f>
        <v/>
      </c>
    </row>
    <row r="50">
      <c r="B50" s="45" t="n"/>
      <c r="C50" s="19" t="n"/>
      <c r="D50" s="19" t="n"/>
      <c r="E50" s="19" t="n"/>
      <c r="F50" s="20" t="n"/>
      <c r="G50" s="37" t="n"/>
      <c r="H50" s="23">
        <f>IF(OR(C50="",F50=""),"",IF(IFERROR(SUMIF($C$7:$C$56,C50,$F$7:$F$56)&gt;VLOOKUP(C50,Panel!$B$25:$C$34,2,FALSE),FALSE),"Partida excedida",""))</f>
        <v/>
      </c>
    </row>
    <row r="51">
      <c r="B51" s="45" t="n"/>
      <c r="C51" s="19" t="n"/>
      <c r="D51" s="19" t="n"/>
      <c r="E51" s="19" t="n"/>
      <c r="F51" s="20" t="n"/>
      <c r="G51" s="37" t="n"/>
      <c r="H51" s="23">
        <f>IF(OR(C51="",F51=""),"",IF(IFERROR(SUMIF($C$7:$C$56,C51,$F$7:$F$56)&gt;VLOOKUP(C51,Panel!$B$25:$C$34,2,FALSE),FALSE),"Partida excedida",""))</f>
        <v/>
      </c>
    </row>
    <row r="52">
      <c r="B52" s="45" t="n"/>
      <c r="C52" s="19" t="n"/>
      <c r="D52" s="19" t="n"/>
      <c r="E52" s="19" t="n"/>
      <c r="F52" s="20" t="n"/>
      <c r="G52" s="37" t="n"/>
      <c r="H52" s="23">
        <f>IF(OR(C52="",F52=""),"",IF(IFERROR(SUMIF($C$7:$C$56,C52,$F$7:$F$56)&gt;VLOOKUP(C52,Panel!$B$25:$C$34,2,FALSE),FALSE),"Partida excedida",""))</f>
        <v/>
      </c>
    </row>
    <row r="53">
      <c r="B53" s="45" t="n"/>
      <c r="C53" s="19" t="n"/>
      <c r="D53" s="19" t="n"/>
      <c r="E53" s="19" t="n"/>
      <c r="F53" s="20" t="n"/>
      <c r="G53" s="37" t="n"/>
      <c r="H53" s="23">
        <f>IF(OR(C53="",F53=""),"",IF(IFERROR(SUMIF($C$7:$C$56,C53,$F$7:$F$56)&gt;VLOOKUP(C53,Panel!$B$25:$C$34,2,FALSE),FALSE),"Partida excedida",""))</f>
        <v/>
      </c>
    </row>
    <row r="54">
      <c r="B54" s="45" t="n"/>
      <c r="C54" s="19" t="n"/>
      <c r="D54" s="19" t="n"/>
      <c r="E54" s="19" t="n"/>
      <c r="F54" s="20" t="n"/>
      <c r="G54" s="37" t="n"/>
      <c r="H54" s="23">
        <f>IF(OR(C54="",F54=""),"",IF(IFERROR(SUMIF($C$7:$C$56,C54,$F$7:$F$56)&gt;VLOOKUP(C54,Panel!$B$25:$C$34,2,FALSE),FALSE),"Partida excedida",""))</f>
        <v/>
      </c>
    </row>
    <row r="55">
      <c r="B55" s="45" t="n"/>
      <c r="C55" s="19" t="n"/>
      <c r="D55" s="19" t="n"/>
      <c r="E55" s="19" t="n"/>
      <c r="F55" s="20" t="n"/>
      <c r="G55" s="37" t="n"/>
      <c r="H55" s="23">
        <f>IF(OR(C55="",F55=""),"",IF(IFERROR(SUMIF($C$7:$C$56,C55,$F$7:$F$56)&gt;VLOOKUP(C55,Panel!$B$25:$C$34,2,FALSE),FALSE),"Partida excedida",""))</f>
        <v/>
      </c>
    </row>
    <row r="56">
      <c r="B56" s="45" t="n"/>
      <c r="C56" s="19" t="n"/>
      <c r="D56" s="19" t="n"/>
      <c r="E56" s="19" t="n"/>
      <c r="F56" s="20" t="n"/>
      <c r="G56" s="37" t="n"/>
      <c r="H56" s="23">
        <f>IF(OR(C56="",F56=""),"",IF(IFERROR(SUMIF($C$7:$C$56,C56,$F$7:$F$56)&gt;VLOOKUP(C56,Panel!$B$25:$C$34,2,FALSE),FALSE),"Partida excedida",""))</f>
        <v/>
      </c>
    </row>
    <row r="58">
      <c r="B58" s="7" t="inlineStr">
        <is>
          <t>La partida se elige de la lista (sale de la tabla del Panel). Si cambias el nombre de una partida en el Panel, vuelve a elegirla en las filas ya escritas.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3:H3"/>
    <mergeCell ref="B2:H2"/>
    <mergeCell ref="B4:C4"/>
  </mergeCells>
  <conditionalFormatting sqref="G7:G56">
    <cfRule type="cellIs" priority="1" operator="equal" dxfId="1">
      <formula>"Pendiente"</formula>
    </cfRule>
  </conditionalFormatting>
  <conditionalFormatting sqref="H7:H56">
    <cfRule type="cellIs" priority="2" operator="equal" dxfId="0">
      <formula>"Partida excedida"</formula>
    </cfRule>
  </conditionalFormatting>
  <conditionalFormatting sqref="F7:F56">
    <cfRule type="dataBar" priority="3">
      <dataBar>
        <cfvo type="num" val="0"/>
        <cfvo type="max"/>
        <color rgb="0010B981"/>
      </dataBar>
    </cfRule>
  </conditionalFormatting>
  <dataValidations count="3">
    <dataValidation sqref="C7:C56" showDropDown="0" showInputMessage="0" showErrorMessage="0" allowBlank="1" type="list">
      <formula1>=Panel!$B$25:$B$34</formula1>
    </dataValidation>
    <dataValidation sqref="G7:G56" showDropDown="0" showInputMessage="0" showErrorMessage="0" allowBlank="1" type="list">
      <formula1>"Pagado,Pendiente"</formula1>
    </dataValidation>
    <dataValidation sqref="F7:F56" showDropDown="0" showInputMessage="0" showErrorMessage="0" allowBlank="1" errorTitle="Importe no válido" error="Escribe el importe de la factura (número igual o mayor que 0)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la plantilla de gastos de comunidad de vecinos</t>
        </is>
      </c>
    </row>
    <row r="3">
      <c r="B3" s="3" t="inlineStr">
        <is>
          <t>Plantilla gratuita de Plantillas de Cálculo · plantillasdecalculo.com</t>
        </is>
      </c>
    </row>
    <row r="5">
      <c r="B5" s="4" t="inlineStr">
        <is>
          <t>CÓMO USARLA</t>
        </is>
      </c>
    </row>
    <row r="6" ht="30" customHeight="1">
      <c r="B6" s="46" t="inlineStr">
        <is>
          <t>1.  En «Panel» rellena los parámetros (celdas C6 a C14): año, mes de corte de los cobros, porcentaje de fondo de reserva, datos de la derrama, criterio de morosidad y saldo inicial de tesorería.</t>
        </is>
      </c>
    </row>
    <row r="7" ht="30" customHeight="1">
      <c r="B7" s="46" t="inlineStr">
        <is>
          <t>2.  En la tabla «Presupuesto y gasto por partida» del Panel (filas 25 a 33) escribe el nombre de cada partida y su presupuesto anual. La suma más el fondo de reserva sale en C15 y es lo que se reparte entre los vecinos.</t>
        </is>
      </c>
    </row>
    <row r="8" ht="30" customHeight="1">
      <c r="B8" s="46" t="inlineStr">
        <is>
          <t>3.  Abre «Vecinos»: una fila por vivienda o local (filas 7 a 46). Escribe vivienda, propietario/a y coeficiente de participación. Comprueba que la celda D4 indique «Correcto» (suma 100%).</t>
        </is>
      </c>
    </row>
    <row r="9" ht="30" customHeight="1">
      <c r="B9" s="46" t="inlineStr">
        <is>
          <t>4.  La hoja «Vecinos» calcula sola la cuota ordinaria mensual, la cuota anual, la parte de derrama y la cuota mensual total de cada vivienda.</t>
        </is>
      </c>
    </row>
    <row r="10" ht="30" customHeight="1">
      <c r="B10" s="46" t="inlineStr">
        <is>
          <t>5.  En «Cobros» anota cada mes, en las columnas Ene a Dic, el importe que ha ingresado cada vivienda. Puedes escribir pagos parciales: la plantilla compara lo ingresado con lo debido hasta el mes de corte.</t>
        </is>
      </c>
    </row>
    <row r="11" ht="30" customHeight="1">
      <c r="B11" s="46" t="inlineStr">
        <is>
          <t>6.  La columna «Estado» de «Cobros» muestra Al corriente, Con retraso o Moroso según la deuda y el criterio que fijaste en Panel C13. Las cinco mayores deudas aparecen en el Panel.</t>
        </is>
      </c>
    </row>
    <row r="12" ht="30" customHeight="1">
      <c r="B12" s="46" t="inlineStr">
        <is>
          <t>7.  En «Gastos» registra cada factura (filas 7 a 56): fecha, partida (lista desplegable), proveedor, concepto, importe y estado Pagado o Pendiente. La columna «Alerta» avisa si la partida ya supera su presupuesto.</t>
        </is>
      </c>
    </row>
    <row r="13" ht="30" customHeight="1">
      <c r="B13" s="46" t="inlineStr">
        <is>
          <t>8.  Revisa el «Panel»: KPI, estado de cada partida, tesorería mes a mes, mayores deudas y los dos gráficos. El saldo de tesorería suma el saldo inicial y los cobros, y resta los gastos marcados como Pagado.</t>
        </is>
      </c>
    </row>
    <row r="15">
      <c r="B15" s="4" t="inlineStr">
        <is>
          <t>CONSEJOS</t>
        </is>
      </c>
    </row>
    <row r="16" ht="30" customHeight="1">
      <c r="B16" s="46" t="inlineStr">
        <is>
          <t>•  Para pasar al año siguiente guarda una copia del archivo, borra los pagos de «Cobros» y los gastos de «Gastos», y cambia el año y el presupuesto en el Panel.</t>
        </is>
      </c>
    </row>
    <row r="17" ht="30" customHeight="1">
      <c r="B17" s="46" t="inlineStr">
        <is>
          <t>•  Tienes 40 filas preparadas en «Vecinos» y «Cobros». Para más viviendas, desprotege la hoja (no lleva contraseña) y copia la última fila hacia abajo; ten en cuenta que los totales del Panel solo suman hasta la fila 46.</t>
        </is>
      </c>
    </row>
    <row r="18" ht="30" customHeight="1">
      <c r="B18" s="46" t="inlineStr">
        <is>
          <t>•  Los coeficientes, el porcentaje del fondo de reserva y el criterio de morosidad son parámetros editables: no son cifras oficiales. Consulta los estatutos de tu comunidad y la normativa aplicable.</t>
        </is>
      </c>
    </row>
    <row r="19" ht="18" customHeight="1">
      <c r="B19" s="46" t="inlineStr">
        <is>
          <t>•  Los datos de ejemplo (viviendas, nombres, proveedores e importes) son ficticios.</t>
        </is>
      </c>
    </row>
    <row r="20" ht="30" customHeight="1">
      <c r="B20" s="46" t="inlineStr">
        <is>
          <t>•  La hoja está protegida sin contraseña (Revisar &gt; Desproteger hoja) por si quieres añadir columnas.</t>
        </is>
      </c>
    </row>
    <row r="22">
      <c r="B22" s="7" t="inlineStr">
        <is>
          <t>Las celdas con fondo crema y texto azul son para rellenar; las verdes se calculan solas.</t>
        </is>
      </c>
    </row>
    <row r="24" ht="44" customHeight="1">
      <c r="B24" s="47" t="inlineStr">
        <is>
          <t>Plantilla de organización y seguimiento de cuentas de una comunidad. No es asesoramiento jurídico, fiscal ni contable: los acuerdos de junta, las cuotas y los plazos legales deben comprobarse con tu administrador de fincas o un profesional.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2026-10-06T12:12:04Z</dcterms:created>
  <dcterms:modified xmlns:dcterms="http://purl.org/dc/terms/" xmlns:xsi="http://www.w3.org/2001/XMLSchema-instance" xsi:type="dcterms:W3CDTF">2026-10-06T12:12:05Z</dcterms:modified>
</cp:coreProperties>
</file>