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lumnado" sheetId="2" state="visible" r:id="rId2"/>
    <sheet xmlns:r="http://schemas.openxmlformats.org/officeDocument/2006/relationships" name="Grupos" sheetId="3" state="visible" r:id="rId3"/>
    <sheet xmlns:r="http://schemas.openxmlformats.org/officeDocument/2006/relationships" name="Listado" sheetId="4" state="visible" r:id="rId4"/>
    <sheet xmlns:r="http://schemas.openxmlformats.org/officeDocument/2006/relationships" name="Listas" sheetId="5" state="hidden" r:id="rId5"/>
    <sheet xmlns:r="http://schemas.openxmlformats.org/officeDocument/2006/relationships" name="Instruccion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047857"/>
      <sz val="10"/>
    </font>
    <font>
      <name val="Arial"/>
      <i val="1"/>
      <color rgb="006B7280"/>
      <sz val="9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1" fillId="6" borderId="0" applyAlignment="1" pivotButton="0" quotePrefix="0" xfId="0">
      <alignment horizontal="center" vertical="center" wrapText="1"/>
    </xf>
    <xf numFmtId="1" fontId="12" fillId="6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center" vertical="center"/>
    </xf>
    <xf numFmtId="9" fontId="12" fillId="6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7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/>
    </xf>
    <xf numFmtId="1" fontId="8" fillId="0" borderId="1" applyAlignment="1" pivotButton="0" quotePrefix="0" xfId="0">
      <alignment horizontal="center" vertical="center"/>
    </xf>
    <xf numFmtId="2" fontId="8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" fontId="5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6" fillId="0" borderId="0" pivotButton="0" quotePrefix="0" xfId="0"/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" fontId="9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vertical="center"/>
    </xf>
    <xf numFmtId="2" fontId="4" fillId="3" borderId="1" applyAlignment="1" applyProtection="1" pivotButton="0" quotePrefix="0" xfId="0">
      <alignment horizontal="center" vertical="center"/>
      <protection locked="0" hidden="0"/>
    </xf>
    <xf numFmtId="2" fontId="5" fillId="0" borderId="1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1" fontId="10" fillId="5" borderId="1" applyAlignment="1" pivotButton="0" quotePrefix="0" xfId="0">
      <alignment horizontal="center"/>
    </xf>
    <xf numFmtId="2" fontId="10" fillId="5" borderId="1" applyAlignment="1" pivotButton="0" quotePrefix="0" xfId="0">
      <alignment horizontal="center"/>
    </xf>
    <xf numFmtId="0" fontId="10" fillId="5" borderId="1" applyAlignment="1" pivotButton="0" quotePrefix="0" xfId="0">
      <alignment horizontal="center"/>
    </xf>
    <xf numFmtId="0" fontId="13" fillId="0" borderId="0" applyAlignment="1" pivotButton="0" quotePrefix="0" xfId="0">
      <alignment vertical="center"/>
    </xf>
    <xf numFmtId="0" fontId="14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Niveles en cada grupo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'Grupos'!D8</f>
            </strRef>
          </tx>
          <spPr>
            <a:ln xmlns:a="http://schemas.openxmlformats.org/drawingml/2006/main">
              <a:prstDash val="solid"/>
            </a:ln>
          </spPr>
          <cat>
            <numRef>
              <f>'Grupos'!$B$9:$B$16</f>
            </numRef>
          </cat>
          <val>
            <numRef>
              <f>'Grupos'!$D$9:$D$16</f>
            </numRef>
          </val>
        </ser>
        <ser>
          <idx val="1"/>
          <order val="1"/>
          <tx>
            <strRef>
              <f>'Grupos'!E8</f>
            </strRef>
          </tx>
          <spPr>
            <a:ln xmlns:a="http://schemas.openxmlformats.org/drawingml/2006/main">
              <a:prstDash val="solid"/>
            </a:ln>
          </spPr>
          <cat>
            <numRef>
              <f>'Grupos'!$B$9:$B$16</f>
            </numRef>
          </cat>
          <val>
            <numRef>
              <f>'Grupos'!$E$9:$E$16</f>
            </numRef>
          </val>
        </ser>
        <ser>
          <idx val="2"/>
          <order val="2"/>
          <tx>
            <strRef>
              <f>'Grupos'!F8</f>
            </strRef>
          </tx>
          <spPr>
            <a:ln xmlns:a="http://schemas.openxmlformats.org/drawingml/2006/main">
              <a:prstDash val="solid"/>
            </a:ln>
          </spPr>
          <cat>
            <numRef>
              <f>'Grupos'!$B$9:$B$16</f>
            </numRef>
          </cat>
          <val>
            <numRef>
              <f>'Grupos'!$F$9:$F$16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612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G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4" customWidth="1" min="3" max="3"/>
    <col width="14" customWidth="1" min="4" max="4"/>
    <col width="14" customWidth="1" min="5" max="5"/>
    <col width="16" customWidth="1" min="6" max="6"/>
    <col width="14" customWidth="1" min="7" max="7"/>
    <col width="3" customWidth="1" min="8" max="8"/>
  </cols>
  <sheetData>
    <row r="2" ht="34" customHeight="1">
      <c r="B2" s="1" t="inlineStr">
        <is>
          <t>Panel del generador de grupos</t>
        </is>
      </c>
      <c r="C2" s="2" t="n"/>
      <c r="D2" s="2" t="n"/>
      <c r="E2" s="2" t="n"/>
      <c r="F2" s="2" t="n"/>
      <c r="G2" s="2" t="n"/>
    </row>
    <row r="3">
      <c r="B3" s="3" t="inlineStr">
        <is>
          <t>Vista rápida del reparto. Cambia el nº de grupos o la semilla en la hoja «Alumnado».</t>
        </is>
      </c>
    </row>
    <row r="5" ht="26" customHeight="1">
      <c r="B5" s="4" t="inlineStr">
        <is>
          <t>ALUMNOS</t>
        </is>
      </c>
      <c r="D5" s="4" t="inlineStr">
        <is>
          <t>Nº DE GRUPOS</t>
        </is>
      </c>
      <c r="F5" s="4" t="inlineStr">
        <is>
          <t>ALUMNOS POR GRUPO</t>
        </is>
      </c>
    </row>
    <row r="6" ht="34" customHeight="1">
      <c r="B6" s="5">
        <f>Alumnado!F5</f>
        <v/>
      </c>
      <c r="D6" s="5">
        <f>Alumnado!$C$5</f>
        <v/>
      </c>
      <c r="F6" s="6">
        <f>Alumnado!F6</f>
        <v/>
      </c>
    </row>
    <row r="8" ht="26" customHeight="1">
      <c r="B8" s="4" t="inlineStr">
        <is>
          <t>GRUPOS EQUILIBRADOS</t>
        </is>
      </c>
      <c r="D8" s="4" t="inlineStr">
        <is>
          <t>SEPARACIONES INCUMPLIDAS</t>
        </is>
      </c>
      <c r="F8" s="4" t="inlineStr">
        <is>
          <t>AFINIDADES CUMPLIDAS</t>
        </is>
      </c>
    </row>
    <row r="9" ht="34" customHeight="1">
      <c r="B9" s="6">
        <f>COUNTIF(Grupos!I9:I16,"Equilibrado")&amp;" de "&amp;Alumnado!$C$5</f>
        <v/>
      </c>
      <c r="D9" s="5">
        <f>COUNTIF(Alumnado!$M$9:$M$48,"Sí")</f>
        <v/>
      </c>
      <c r="F9" s="7">
        <f>IFERROR(COUNTIF(Alumnado!$N$9:$N$48,"Cumplida")/(COUNTIF(Alumnado!$N$9:$N$48,"Cumplida")+COUNTIF(Alumnado!$N$9:$N$48,"No cumplida")),"Sin datos")</f>
        <v/>
      </c>
    </row>
    <row r="11">
      <c r="B11" s="8" t="inlineStr">
        <is>
          <t>Estado del reparto:</t>
        </is>
      </c>
      <c r="C11" s="9">
        <f>IF(B6=0,"Añade alumnos en la hoja Alumnado",IF(Grupos!E19&gt;0,"Hay alumnos con grupo manual fuera de rango",IF(D9&gt;0,"Revisa las separaciones incumplidas",IF(COUNTIF(Grupos!I9:I16,"Revisar")&gt;0,"Hay grupos por revisar","Reparto correcto"))))</f>
        <v/>
      </c>
      <c r="D11" s="10" t="n"/>
      <c r="E11" s="10" t="n"/>
      <c r="F11" s="10" t="n"/>
      <c r="G11" s="11" t="n"/>
    </row>
    <row r="13" ht="30" customHeight="1">
      <c r="B13" s="12" t="inlineStr">
        <is>
          <t>Grupo</t>
        </is>
      </c>
      <c r="C13" s="12" t="inlineStr">
        <is>
          <t>Alumnos</t>
        </is>
      </c>
      <c r="D13" s="12" t="inlineStr">
        <is>
          <t>Media de nivel</t>
        </is>
      </c>
      <c r="E13" s="12" t="inlineStr">
        <is>
          <t>Separaciones</t>
        </is>
      </c>
      <c r="F13" s="12" t="inlineStr">
        <is>
          <t>Estado</t>
        </is>
      </c>
    </row>
    <row r="14">
      <c r="B14" s="13">
        <f>IF(Grupos!C9="","",Grupos!B9)</f>
        <v/>
      </c>
      <c r="C14" s="14">
        <f>IF(Grupos!C9="","",Grupos!C9)</f>
        <v/>
      </c>
      <c r="D14" s="15">
        <f>IF(Grupos!C9="","",Grupos!G9)</f>
        <v/>
      </c>
      <c r="E14" s="14">
        <f>IF(Grupos!C9="","",Grupos!H9)</f>
        <v/>
      </c>
      <c r="F14" s="16">
        <f>IF(Grupos!C9="","",Grupos!I9)</f>
        <v/>
      </c>
    </row>
    <row r="15">
      <c r="B15" s="13">
        <f>IF(Grupos!C10="","",Grupos!B10)</f>
        <v/>
      </c>
      <c r="C15" s="14">
        <f>IF(Grupos!C10="","",Grupos!C10)</f>
        <v/>
      </c>
      <c r="D15" s="15">
        <f>IF(Grupos!C10="","",Grupos!G10)</f>
        <v/>
      </c>
      <c r="E15" s="14">
        <f>IF(Grupos!C10="","",Grupos!H10)</f>
        <v/>
      </c>
      <c r="F15" s="16">
        <f>IF(Grupos!C10="","",Grupos!I10)</f>
        <v/>
      </c>
    </row>
    <row r="16">
      <c r="B16" s="13">
        <f>IF(Grupos!C11="","",Grupos!B11)</f>
        <v/>
      </c>
      <c r="C16" s="14">
        <f>IF(Grupos!C11="","",Grupos!C11)</f>
        <v/>
      </c>
      <c r="D16" s="15">
        <f>IF(Grupos!C11="","",Grupos!G11)</f>
        <v/>
      </c>
      <c r="E16" s="14">
        <f>IF(Grupos!C11="","",Grupos!H11)</f>
        <v/>
      </c>
      <c r="F16" s="16">
        <f>IF(Grupos!C11="","",Grupos!I11)</f>
        <v/>
      </c>
    </row>
    <row r="17">
      <c r="B17" s="13">
        <f>IF(Grupos!C12="","",Grupos!B12)</f>
        <v/>
      </c>
      <c r="C17" s="14">
        <f>IF(Grupos!C12="","",Grupos!C12)</f>
        <v/>
      </c>
      <c r="D17" s="15">
        <f>IF(Grupos!C12="","",Grupos!G12)</f>
        <v/>
      </c>
      <c r="E17" s="14">
        <f>IF(Grupos!C12="","",Grupos!H12)</f>
        <v/>
      </c>
      <c r="F17" s="16">
        <f>IF(Grupos!C12="","",Grupos!I12)</f>
        <v/>
      </c>
    </row>
    <row r="18">
      <c r="B18" s="13">
        <f>IF(Grupos!C13="","",Grupos!B13)</f>
        <v/>
      </c>
      <c r="C18" s="14">
        <f>IF(Grupos!C13="","",Grupos!C13)</f>
        <v/>
      </c>
      <c r="D18" s="15">
        <f>IF(Grupos!C13="","",Grupos!G13)</f>
        <v/>
      </c>
      <c r="E18" s="14">
        <f>IF(Grupos!C13="","",Grupos!H13)</f>
        <v/>
      </c>
      <c r="F18" s="16">
        <f>IF(Grupos!C13="","",Grupos!I13)</f>
        <v/>
      </c>
    </row>
    <row r="19">
      <c r="B19" s="13">
        <f>IF(Grupos!C14="","",Grupos!B14)</f>
        <v/>
      </c>
      <c r="C19" s="14">
        <f>IF(Grupos!C14="","",Grupos!C14)</f>
        <v/>
      </c>
      <c r="D19" s="15">
        <f>IF(Grupos!C14="","",Grupos!G14)</f>
        <v/>
      </c>
      <c r="E19" s="14">
        <f>IF(Grupos!C14="","",Grupos!H14)</f>
        <v/>
      </c>
      <c r="F19" s="16">
        <f>IF(Grupos!C14="","",Grupos!I14)</f>
        <v/>
      </c>
    </row>
    <row r="20">
      <c r="B20" s="13">
        <f>IF(Grupos!C15="","",Grupos!B15)</f>
        <v/>
      </c>
      <c r="C20" s="14">
        <f>IF(Grupos!C15="","",Grupos!C15)</f>
        <v/>
      </c>
      <c r="D20" s="15">
        <f>IF(Grupos!C15="","",Grupos!G15)</f>
        <v/>
      </c>
      <c r="E20" s="14">
        <f>IF(Grupos!C15="","",Grupos!H15)</f>
        <v/>
      </c>
      <c r="F20" s="16">
        <f>IF(Grupos!C15="","",Grupos!I15)</f>
        <v/>
      </c>
    </row>
    <row r="21">
      <c r="B21" s="13">
        <f>IF(Grupos!C16="","",Grupos!B16)</f>
        <v/>
      </c>
      <c r="C21" s="14">
        <f>IF(Grupos!C16="","",Grupos!C16)</f>
        <v/>
      </c>
      <c r="D21" s="15">
        <f>IF(Grupos!C16="","",Grupos!G16)</f>
        <v/>
      </c>
      <c r="E21" s="14">
        <f>IF(Grupos!C16="","",Grupos!H16)</f>
        <v/>
      </c>
      <c r="F21" s="16">
        <f>IF(Grupos!C16="","",Grupos!I16)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5">
    <mergeCell ref="B3:G3"/>
    <mergeCell ref="B2:G2"/>
    <mergeCell ref="B6:C6"/>
    <mergeCell ref="D6:E6"/>
    <mergeCell ref="D8:E8"/>
    <mergeCell ref="B5:C5"/>
    <mergeCell ref="F5:G5"/>
    <mergeCell ref="D5:E5"/>
    <mergeCell ref="C11:G11"/>
    <mergeCell ref="F6:G6"/>
    <mergeCell ref="B9:C9"/>
    <mergeCell ref="D9:E9"/>
    <mergeCell ref="B8:C8"/>
    <mergeCell ref="F9:G9"/>
    <mergeCell ref="F8:G8"/>
  </mergeCells>
  <conditionalFormatting sqref="D14:D21">
    <cfRule type="dataBar" priority="1">
      <dataBar>
        <cfvo type="num" val="0"/>
        <cfvo type="max"/>
        <color rgb="0010B981"/>
      </dataBar>
    </cfRule>
  </conditionalFormatting>
  <conditionalFormatting sqref="F14:F21">
    <cfRule type="cellIs" priority="2" operator="equal" dxfId="0">
      <formula>"Equilibrado"</formula>
    </cfRule>
    <cfRule type="cellIs" priority="3" operator="equal" dxfId="1">
      <formula>"Revisar"</formula>
    </cfRule>
    <cfRule type="cellIs" priority="4" operator="equal" dxfId="2">
      <formula>"Conflicto"</formula>
    </cfRule>
  </conditionalFormatting>
  <conditionalFormatting sqref="C11:G11">
    <cfRule type="expression" priority="5" dxfId="1">
      <formula>$C$11&lt;&gt;"Reparto correcto"</formula>
    </cfRule>
    <cfRule type="expression" priority="6" dxfId="0">
      <formula>$C$11="Reparto correcto"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P4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11" customWidth="1" min="3" max="3"/>
    <col width="22" customWidth="1" min="4" max="4"/>
    <col width="22" customWidth="1" min="5" max="5"/>
    <col width="11" customWidth="1" min="6" max="6"/>
    <col width="9" customWidth="1" min="7" max="7"/>
    <col hidden="1" width="10" customWidth="1" min="8" max="8"/>
    <col width="9" customWidth="1" min="9" max="9"/>
    <col width="11" customWidth="1" min="10" max="10"/>
    <col width="12" customWidth="1" min="11" max="11"/>
    <col width="11" customWidth="1" min="12" max="12"/>
    <col width="13" customWidth="1" min="13" max="13"/>
    <col width="14" customWidth="1" min="14" max="14"/>
    <col hidden="1" width="8" customWidth="1" min="15" max="15"/>
    <col hidden="1" width="14" customWidth="1" min="16" max="16"/>
  </cols>
  <sheetData>
    <row r="2" ht="34" customHeight="1">
      <c r="B2" s="1" t="inlineStr">
        <is>
          <t>Alumnado y reglas del reparto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Apunta a cada alumno con su nivel. El reparto es por fórmula, con orden fijado: no cambia al abrir el archivo.</t>
        </is>
      </c>
    </row>
    <row r="5">
      <c r="B5" s="8" t="inlineStr">
        <is>
          <t>Nº de grupos:</t>
        </is>
      </c>
      <c r="C5" s="17" t="n">
        <v>6</v>
      </c>
      <c r="E5" s="18" t="inlineStr">
        <is>
          <t>Alumnos:</t>
        </is>
      </c>
      <c r="F5" s="19">
        <f>COUNTIF(B9:B48,"?*")</f>
        <v/>
      </c>
      <c r="G5" s="20" t="inlineStr">
        <is>
          <t>Cambia la semilla (1 a 1008) para obtener otro reparto aleatorio equilibrado.</t>
        </is>
      </c>
    </row>
    <row r="6">
      <c r="B6" s="8" t="inlineStr">
        <is>
          <t>Semilla del reparto:</t>
        </is>
      </c>
      <c r="C6" s="17" t="n">
        <v>37</v>
      </c>
      <c r="E6" s="18" t="inlineStr">
        <is>
          <t>Alumnos por grupo:</t>
        </is>
      </c>
      <c r="F6" s="16">
        <f>IF(OR(C5&lt;1,F5=0),"",IF(MOD(F5,C5)=0,F5/C5,INT(F5/C5)&amp;"-"&amp;(INT(F5/C5)+1)))</f>
        <v/>
      </c>
      <c r="G6" s="20" t="inlineStr">
        <is>
          <t>Grupo manual: escribe un nº para forzar a un alumno en un grupo concreto.</t>
        </is>
      </c>
    </row>
    <row r="8" ht="40" customHeight="1">
      <c r="B8" s="12" t="inlineStr">
        <is>
          <t>Alumno</t>
        </is>
      </c>
      <c r="C8" s="12" t="inlineStr">
        <is>
          <t>Nivel</t>
        </is>
      </c>
      <c r="D8" s="12" t="inlineStr">
        <is>
          <t>Separar de (no juntar con)</t>
        </is>
      </c>
      <c r="E8" s="12" t="inlineStr">
        <is>
          <t>Preferiría con</t>
        </is>
      </c>
      <c r="F8" s="12" t="inlineStr">
        <is>
          <t>Nº de sorteo</t>
        </is>
      </c>
      <c r="G8" s="12" t="inlineStr">
        <is>
          <t>Puntos</t>
        </is>
      </c>
      <c r="H8" s="12" t="inlineStr">
        <is>
          <t>Clave</t>
        </is>
      </c>
      <c r="I8" s="12" t="inlineStr">
        <is>
          <t>Orden</t>
        </is>
      </c>
      <c r="J8" s="12" t="inlineStr">
        <is>
          <t>Grupo automático</t>
        </is>
      </c>
      <c r="K8" s="12" t="inlineStr">
        <is>
          <t>Grupo manual</t>
        </is>
      </c>
      <c r="L8" s="12" t="inlineStr">
        <is>
          <t>Grupo final</t>
        </is>
      </c>
      <c r="M8" s="12" t="inlineStr">
        <is>
          <t>Separación incumplida</t>
        </is>
      </c>
      <c r="N8" s="12" t="inlineStr">
        <is>
          <t>Afinidad</t>
        </is>
      </c>
      <c r="O8" s="21" t="inlineStr">
        <is>
          <t>Pos.</t>
        </is>
      </c>
      <c r="P8" s="21" t="inlineStr">
        <is>
          <t>Etiqueta</t>
        </is>
      </c>
    </row>
    <row r="9">
      <c r="B9" s="22" t="inlineStr">
        <is>
          <t>Lucía Prieto</t>
        </is>
      </c>
      <c r="C9" s="23" t="inlineStr">
        <is>
          <t>Alto</t>
        </is>
      </c>
      <c r="D9" s="22" t="n"/>
      <c r="E9" s="22" t="inlineStr">
        <is>
          <t>Marcos Gil</t>
        </is>
      </c>
      <c r="F9" s="14">
        <f>IF(B9="","",MOD(1*$C$6,1009))</f>
        <v/>
      </c>
      <c r="G9" s="14">
        <f>IF(B9="","",IFERROR(VLOOKUP(C9,Listas!$A$2:$B$4,2,FALSE),2))</f>
        <v/>
      </c>
      <c r="H9" s="24">
        <f>IF(B9="","",G9*10000+F9)</f>
        <v/>
      </c>
      <c r="I9" s="14">
        <f>IF(B9="","",COUNTIF($H$9:$H$48,"&gt;"&amp;H9)+1)</f>
        <v/>
      </c>
      <c r="J9" s="19">
        <f>IF(OR(B9="",$C$5&lt;1),"",IF(MOD(INT((I9-1)/$C$5),2)=0,MOD(I9-1,$C$5)+1,$C$5-MOD(I9-1,$C$5)))</f>
        <v/>
      </c>
      <c r="K9" s="17" t="n"/>
      <c r="L9" s="19">
        <f>IF(B9="","",IF(K9&lt;&gt;"",K9,J9))</f>
        <v/>
      </c>
      <c r="M9" s="25">
        <f>IF(OR(B9="",D9=""),"",IF(IFERROR(INDEX($L$9:$L$48,MATCH(D9,$B$9:$B$48,0)),"")=L9,"Sí","No"))</f>
        <v/>
      </c>
      <c r="N9" s="25">
        <f>IF(OR(B9="",E9=""),"",IF(IFERROR(INDEX($L$9:$L$48,MATCH(E9,$B$9:$B$48,0)),"")=L9,"Cumplida","No cumplida"))</f>
        <v/>
      </c>
      <c r="O9" s="24">
        <f>IF(OR(B9="",L9=""),"",L9*100+COUNTIF($L$9:L9,L9))</f>
        <v/>
      </c>
      <c r="P9" s="26">
        <f>IF(B9="","",B9&amp;IF(C9="",""," ("&amp;LEFT(C9,1)&amp;")"))</f>
        <v/>
      </c>
    </row>
    <row r="10">
      <c r="B10" s="22" t="inlineStr">
        <is>
          <t>Marcos Gil</t>
        </is>
      </c>
      <c r="C10" s="23" t="inlineStr">
        <is>
          <t>Medio</t>
        </is>
      </c>
      <c r="D10" s="22" t="n"/>
      <c r="E10" s="22" t="n"/>
      <c r="F10" s="14">
        <f>IF(B10="","",MOD(2*$C$6,1009))</f>
        <v/>
      </c>
      <c r="G10" s="14">
        <f>IF(B10="","",IFERROR(VLOOKUP(C10,Listas!$A$2:$B$4,2,FALSE),2))</f>
        <v/>
      </c>
      <c r="H10" s="24">
        <f>IF(B10="","",G10*10000+F10)</f>
        <v/>
      </c>
      <c r="I10" s="14">
        <f>IF(B10="","",COUNTIF($H$9:$H$48,"&gt;"&amp;H10)+1)</f>
        <v/>
      </c>
      <c r="J10" s="19">
        <f>IF(OR(B10="",$C$5&lt;1),"",IF(MOD(INT((I10-1)/$C$5),2)=0,MOD(I10-1,$C$5)+1,$C$5-MOD(I10-1,$C$5)))</f>
        <v/>
      </c>
      <c r="K10" s="17" t="n"/>
      <c r="L10" s="19">
        <f>IF(B10="","",IF(K10&lt;&gt;"",K10,J10))</f>
        <v/>
      </c>
      <c r="M10" s="25">
        <f>IF(OR(B10="",D10=""),"",IF(IFERROR(INDEX($L$9:$L$48,MATCH(D10,$B$9:$B$48,0)),"")=L10,"Sí","No"))</f>
        <v/>
      </c>
      <c r="N10" s="25">
        <f>IF(OR(B10="",E10=""),"",IF(IFERROR(INDEX($L$9:$L$48,MATCH(E10,$B$9:$B$48,0)),"")=L10,"Cumplida","No cumplida"))</f>
        <v/>
      </c>
      <c r="O10" s="24">
        <f>IF(OR(B10="",L10=""),"",L10*100+COUNTIF($L$9:L10,L10))</f>
        <v/>
      </c>
      <c r="P10" s="26">
        <f>IF(B10="","",B10&amp;IF(C10="",""," ("&amp;LEFT(C10,1)&amp;")"))</f>
        <v/>
      </c>
    </row>
    <row r="11">
      <c r="B11" s="22" t="inlineStr">
        <is>
          <t>Sara Ortega</t>
        </is>
      </c>
      <c r="C11" s="23" t="inlineStr">
        <is>
          <t>Alto</t>
        </is>
      </c>
      <c r="D11" s="22" t="inlineStr">
        <is>
          <t>Hugo Serrano</t>
        </is>
      </c>
      <c r="E11" s="22" t="n"/>
      <c r="F11" s="14">
        <f>IF(B11="","",MOD(3*$C$6,1009))</f>
        <v/>
      </c>
      <c r="G11" s="14">
        <f>IF(B11="","",IFERROR(VLOOKUP(C11,Listas!$A$2:$B$4,2,FALSE),2))</f>
        <v/>
      </c>
      <c r="H11" s="24">
        <f>IF(B11="","",G11*10000+F11)</f>
        <v/>
      </c>
      <c r="I11" s="14">
        <f>IF(B11="","",COUNTIF($H$9:$H$48,"&gt;"&amp;H11)+1)</f>
        <v/>
      </c>
      <c r="J11" s="19">
        <f>IF(OR(B11="",$C$5&lt;1),"",IF(MOD(INT((I11-1)/$C$5),2)=0,MOD(I11-1,$C$5)+1,$C$5-MOD(I11-1,$C$5)))</f>
        <v/>
      </c>
      <c r="K11" s="17" t="n"/>
      <c r="L11" s="19">
        <f>IF(B11="","",IF(K11&lt;&gt;"",K11,J11))</f>
        <v/>
      </c>
      <c r="M11" s="25">
        <f>IF(OR(B11="",D11=""),"",IF(IFERROR(INDEX($L$9:$L$48,MATCH(D11,$B$9:$B$48,0)),"")=L11,"Sí","No"))</f>
        <v/>
      </c>
      <c r="N11" s="25">
        <f>IF(OR(B11="",E11=""),"",IF(IFERROR(INDEX($L$9:$L$48,MATCH(E11,$B$9:$B$48,0)),"")=L11,"Cumplida","No cumplida"))</f>
        <v/>
      </c>
      <c r="O11" s="24">
        <f>IF(OR(B11="",L11=""),"",L11*100+COUNTIF($L$9:L11,L11))</f>
        <v/>
      </c>
      <c r="P11" s="26">
        <f>IF(B11="","",B11&amp;IF(C11="",""," ("&amp;LEFT(C11,1)&amp;")"))</f>
        <v/>
      </c>
    </row>
    <row r="12">
      <c r="B12" s="22" t="inlineStr">
        <is>
          <t>Hugo Serrano</t>
        </is>
      </c>
      <c r="C12" s="23" t="inlineStr">
        <is>
          <t>Bajo</t>
        </is>
      </c>
      <c r="D12" s="22" t="n"/>
      <c r="E12" s="22" t="n"/>
      <c r="F12" s="14">
        <f>IF(B12="","",MOD(4*$C$6,1009))</f>
        <v/>
      </c>
      <c r="G12" s="14">
        <f>IF(B12="","",IFERROR(VLOOKUP(C12,Listas!$A$2:$B$4,2,FALSE),2))</f>
        <v/>
      </c>
      <c r="H12" s="24">
        <f>IF(B12="","",G12*10000+F12)</f>
        <v/>
      </c>
      <c r="I12" s="14">
        <f>IF(B12="","",COUNTIF($H$9:$H$48,"&gt;"&amp;H12)+1)</f>
        <v/>
      </c>
      <c r="J12" s="19">
        <f>IF(OR(B12="",$C$5&lt;1),"",IF(MOD(INT((I12-1)/$C$5),2)=0,MOD(I12-1,$C$5)+1,$C$5-MOD(I12-1,$C$5)))</f>
        <v/>
      </c>
      <c r="K12" s="17" t="n"/>
      <c r="L12" s="19">
        <f>IF(B12="","",IF(K12&lt;&gt;"",K12,J12))</f>
        <v/>
      </c>
      <c r="M12" s="25">
        <f>IF(OR(B12="",D12=""),"",IF(IFERROR(INDEX($L$9:$L$48,MATCH(D12,$B$9:$B$48,0)),"")=L12,"Sí","No"))</f>
        <v/>
      </c>
      <c r="N12" s="25">
        <f>IF(OR(B12="",E12=""),"",IF(IFERROR(INDEX($L$9:$L$48,MATCH(E12,$B$9:$B$48,0)),"")=L12,"Cumplida","No cumplida"))</f>
        <v/>
      </c>
      <c r="O12" s="24">
        <f>IF(OR(B12="",L12=""),"",L12*100+COUNTIF($L$9:L12,L12))</f>
        <v/>
      </c>
      <c r="P12" s="26">
        <f>IF(B12="","",B12&amp;IF(C12="",""," ("&amp;LEFT(C12,1)&amp;")"))</f>
        <v/>
      </c>
    </row>
    <row r="13">
      <c r="B13" s="22" t="inlineStr">
        <is>
          <t>Aitana Ruiz</t>
        </is>
      </c>
      <c r="C13" s="23" t="inlineStr">
        <is>
          <t>Medio</t>
        </is>
      </c>
      <c r="D13" s="22" t="n"/>
      <c r="E13" s="22" t="inlineStr">
        <is>
          <t>Noa Castillo</t>
        </is>
      </c>
      <c r="F13" s="14">
        <f>IF(B13="","",MOD(5*$C$6,1009))</f>
        <v/>
      </c>
      <c r="G13" s="14">
        <f>IF(B13="","",IFERROR(VLOOKUP(C13,Listas!$A$2:$B$4,2,FALSE),2))</f>
        <v/>
      </c>
      <c r="H13" s="24">
        <f>IF(B13="","",G13*10000+F13)</f>
        <v/>
      </c>
      <c r="I13" s="14">
        <f>IF(B13="","",COUNTIF($H$9:$H$48,"&gt;"&amp;H13)+1)</f>
        <v/>
      </c>
      <c r="J13" s="19">
        <f>IF(OR(B13="",$C$5&lt;1),"",IF(MOD(INT((I13-1)/$C$5),2)=0,MOD(I13-1,$C$5)+1,$C$5-MOD(I13-1,$C$5)))</f>
        <v/>
      </c>
      <c r="K13" s="17" t="n"/>
      <c r="L13" s="19">
        <f>IF(B13="","",IF(K13&lt;&gt;"",K13,J13))</f>
        <v/>
      </c>
      <c r="M13" s="25">
        <f>IF(OR(B13="",D13=""),"",IF(IFERROR(INDEX($L$9:$L$48,MATCH(D13,$B$9:$B$48,0)),"")=L13,"Sí","No"))</f>
        <v/>
      </c>
      <c r="N13" s="25">
        <f>IF(OR(B13="",E13=""),"",IF(IFERROR(INDEX($L$9:$L$48,MATCH(E13,$B$9:$B$48,0)),"")=L13,"Cumplida","No cumplida"))</f>
        <v/>
      </c>
      <c r="O13" s="24">
        <f>IF(OR(B13="",L13=""),"",L13*100+COUNTIF($L$9:L13,L13))</f>
        <v/>
      </c>
      <c r="P13" s="26">
        <f>IF(B13="","",B13&amp;IF(C13="",""," ("&amp;LEFT(C13,1)&amp;")"))</f>
        <v/>
      </c>
    </row>
    <row r="14">
      <c r="B14" s="22" t="inlineStr">
        <is>
          <t>Daniel Moreno</t>
        </is>
      </c>
      <c r="C14" s="23" t="inlineStr">
        <is>
          <t>Bajo</t>
        </is>
      </c>
      <c r="D14" s="22" t="n"/>
      <c r="E14" s="22" t="n"/>
      <c r="F14" s="14">
        <f>IF(B14="","",MOD(6*$C$6,1009))</f>
        <v/>
      </c>
      <c r="G14" s="14">
        <f>IF(B14="","",IFERROR(VLOOKUP(C14,Listas!$A$2:$B$4,2,FALSE),2))</f>
        <v/>
      </c>
      <c r="H14" s="24">
        <f>IF(B14="","",G14*10000+F14)</f>
        <v/>
      </c>
      <c r="I14" s="14">
        <f>IF(B14="","",COUNTIF($H$9:$H$48,"&gt;"&amp;H14)+1)</f>
        <v/>
      </c>
      <c r="J14" s="19">
        <f>IF(OR(B14="",$C$5&lt;1),"",IF(MOD(INT((I14-1)/$C$5),2)=0,MOD(I14-1,$C$5)+1,$C$5-MOD(I14-1,$C$5)))</f>
        <v/>
      </c>
      <c r="K14" s="17" t="n"/>
      <c r="L14" s="19">
        <f>IF(B14="","",IF(K14&lt;&gt;"",K14,J14))</f>
        <v/>
      </c>
      <c r="M14" s="25">
        <f>IF(OR(B14="",D14=""),"",IF(IFERROR(INDEX($L$9:$L$48,MATCH(D14,$B$9:$B$48,0)),"")=L14,"Sí","No"))</f>
        <v/>
      </c>
      <c r="N14" s="25">
        <f>IF(OR(B14="",E14=""),"",IF(IFERROR(INDEX($L$9:$L$48,MATCH(E14,$B$9:$B$48,0)),"")=L14,"Cumplida","No cumplida"))</f>
        <v/>
      </c>
      <c r="O14" s="24">
        <f>IF(OR(B14="",L14=""),"",L14*100+COUNTIF($L$9:L14,L14))</f>
        <v/>
      </c>
      <c r="P14" s="26">
        <f>IF(B14="","",B14&amp;IF(C14="",""," ("&amp;LEFT(C14,1)&amp;")"))</f>
        <v/>
      </c>
    </row>
    <row r="15">
      <c r="B15" s="22" t="inlineStr">
        <is>
          <t>Noa Castillo</t>
        </is>
      </c>
      <c r="C15" s="23" t="inlineStr">
        <is>
          <t>Alto</t>
        </is>
      </c>
      <c r="D15" s="22" t="n"/>
      <c r="E15" s="22" t="n"/>
      <c r="F15" s="14">
        <f>IF(B15="","",MOD(7*$C$6,1009))</f>
        <v/>
      </c>
      <c r="G15" s="14">
        <f>IF(B15="","",IFERROR(VLOOKUP(C15,Listas!$A$2:$B$4,2,FALSE),2))</f>
        <v/>
      </c>
      <c r="H15" s="24">
        <f>IF(B15="","",G15*10000+F15)</f>
        <v/>
      </c>
      <c r="I15" s="14">
        <f>IF(B15="","",COUNTIF($H$9:$H$48,"&gt;"&amp;H15)+1)</f>
        <v/>
      </c>
      <c r="J15" s="19">
        <f>IF(OR(B15="",$C$5&lt;1),"",IF(MOD(INT((I15-1)/$C$5),2)=0,MOD(I15-1,$C$5)+1,$C$5-MOD(I15-1,$C$5)))</f>
        <v/>
      </c>
      <c r="K15" s="17" t="n"/>
      <c r="L15" s="19">
        <f>IF(B15="","",IF(K15&lt;&gt;"",K15,J15))</f>
        <v/>
      </c>
      <c r="M15" s="25">
        <f>IF(OR(B15="",D15=""),"",IF(IFERROR(INDEX($L$9:$L$48,MATCH(D15,$B$9:$B$48,0)),"")=L15,"Sí","No"))</f>
        <v/>
      </c>
      <c r="N15" s="25">
        <f>IF(OR(B15="",E15=""),"",IF(IFERROR(INDEX($L$9:$L$48,MATCH(E15,$B$9:$B$48,0)),"")=L15,"Cumplida","No cumplida"))</f>
        <v/>
      </c>
      <c r="O15" s="24">
        <f>IF(OR(B15="",L15=""),"",L15*100+COUNTIF($L$9:L15,L15))</f>
        <v/>
      </c>
      <c r="P15" s="26">
        <f>IF(B15="","",B15&amp;IF(C15="",""," ("&amp;LEFT(C15,1)&amp;")"))</f>
        <v/>
      </c>
    </row>
    <row r="16">
      <c r="B16" s="22" t="inlineStr">
        <is>
          <t>Pablo Vega</t>
        </is>
      </c>
      <c r="C16" s="23" t="inlineStr">
        <is>
          <t>Medio</t>
        </is>
      </c>
      <c r="D16" s="22" t="inlineStr">
        <is>
          <t>Daniel Moreno</t>
        </is>
      </c>
      <c r="E16" s="22" t="n"/>
      <c r="F16" s="14">
        <f>IF(B16="","",MOD(8*$C$6,1009))</f>
        <v/>
      </c>
      <c r="G16" s="14">
        <f>IF(B16="","",IFERROR(VLOOKUP(C16,Listas!$A$2:$B$4,2,FALSE),2))</f>
        <v/>
      </c>
      <c r="H16" s="24">
        <f>IF(B16="","",G16*10000+F16)</f>
        <v/>
      </c>
      <c r="I16" s="14">
        <f>IF(B16="","",COUNTIF($H$9:$H$48,"&gt;"&amp;H16)+1)</f>
        <v/>
      </c>
      <c r="J16" s="19">
        <f>IF(OR(B16="",$C$5&lt;1),"",IF(MOD(INT((I16-1)/$C$5),2)=0,MOD(I16-1,$C$5)+1,$C$5-MOD(I16-1,$C$5)))</f>
        <v/>
      </c>
      <c r="K16" s="17" t="n"/>
      <c r="L16" s="19">
        <f>IF(B16="","",IF(K16&lt;&gt;"",K16,J16))</f>
        <v/>
      </c>
      <c r="M16" s="25">
        <f>IF(OR(B16="",D16=""),"",IF(IFERROR(INDEX($L$9:$L$48,MATCH(D16,$B$9:$B$48,0)),"")=L16,"Sí","No"))</f>
        <v/>
      </c>
      <c r="N16" s="25">
        <f>IF(OR(B16="",E16=""),"",IF(IFERROR(INDEX($L$9:$L$48,MATCH(E16,$B$9:$B$48,0)),"")=L16,"Cumplida","No cumplida"))</f>
        <v/>
      </c>
      <c r="O16" s="24">
        <f>IF(OR(B16="",L16=""),"",L16*100+COUNTIF($L$9:L16,L16))</f>
        <v/>
      </c>
      <c r="P16" s="26">
        <f>IF(B16="","",B16&amp;IF(C16="",""," ("&amp;LEFT(C16,1)&amp;")"))</f>
        <v/>
      </c>
    </row>
    <row r="17">
      <c r="B17" s="22" t="inlineStr">
        <is>
          <t>Carla Navarro</t>
        </is>
      </c>
      <c r="C17" s="23" t="inlineStr">
        <is>
          <t>Medio</t>
        </is>
      </c>
      <c r="D17" s="22" t="n"/>
      <c r="E17" s="22" t="inlineStr">
        <is>
          <t>Claudia Marín</t>
        </is>
      </c>
      <c r="F17" s="14">
        <f>IF(B17="","",MOD(9*$C$6,1009))</f>
        <v/>
      </c>
      <c r="G17" s="14">
        <f>IF(B17="","",IFERROR(VLOOKUP(C17,Listas!$A$2:$B$4,2,FALSE),2))</f>
        <v/>
      </c>
      <c r="H17" s="24">
        <f>IF(B17="","",G17*10000+F17)</f>
        <v/>
      </c>
      <c r="I17" s="14">
        <f>IF(B17="","",COUNTIF($H$9:$H$48,"&gt;"&amp;H17)+1)</f>
        <v/>
      </c>
      <c r="J17" s="19">
        <f>IF(OR(B17="",$C$5&lt;1),"",IF(MOD(INT((I17-1)/$C$5),2)=0,MOD(I17-1,$C$5)+1,$C$5-MOD(I17-1,$C$5)))</f>
        <v/>
      </c>
      <c r="K17" s="17" t="n"/>
      <c r="L17" s="19">
        <f>IF(B17="","",IF(K17&lt;&gt;"",K17,J17))</f>
        <v/>
      </c>
      <c r="M17" s="25">
        <f>IF(OR(B17="",D17=""),"",IF(IFERROR(INDEX($L$9:$L$48,MATCH(D17,$B$9:$B$48,0)),"")=L17,"Sí","No"))</f>
        <v/>
      </c>
      <c r="N17" s="25">
        <f>IF(OR(B17="",E17=""),"",IF(IFERROR(INDEX($L$9:$L$48,MATCH(E17,$B$9:$B$48,0)),"")=L17,"Cumplida","No cumplida"))</f>
        <v/>
      </c>
      <c r="O17" s="24">
        <f>IF(OR(B17="",L17=""),"",L17*100+COUNTIF($L$9:L17,L17))</f>
        <v/>
      </c>
      <c r="P17" s="26">
        <f>IF(B17="","",B17&amp;IF(C17="",""," ("&amp;LEFT(C17,1)&amp;")"))</f>
        <v/>
      </c>
    </row>
    <row r="18">
      <c r="B18" s="22" t="inlineStr">
        <is>
          <t>Iván Romero</t>
        </is>
      </c>
      <c r="C18" s="23" t="inlineStr">
        <is>
          <t>Bajo</t>
        </is>
      </c>
      <c r="D18" s="22" t="n"/>
      <c r="E18" s="22" t="n"/>
      <c r="F18" s="14">
        <f>IF(B18="","",MOD(10*$C$6,1009))</f>
        <v/>
      </c>
      <c r="G18" s="14">
        <f>IF(B18="","",IFERROR(VLOOKUP(C18,Listas!$A$2:$B$4,2,FALSE),2))</f>
        <v/>
      </c>
      <c r="H18" s="24">
        <f>IF(B18="","",G18*10000+F18)</f>
        <v/>
      </c>
      <c r="I18" s="14">
        <f>IF(B18="","",COUNTIF($H$9:$H$48,"&gt;"&amp;H18)+1)</f>
        <v/>
      </c>
      <c r="J18" s="19">
        <f>IF(OR(B18="",$C$5&lt;1),"",IF(MOD(INT((I18-1)/$C$5),2)=0,MOD(I18-1,$C$5)+1,$C$5-MOD(I18-1,$C$5)))</f>
        <v/>
      </c>
      <c r="K18" s="17" t="n"/>
      <c r="L18" s="19">
        <f>IF(B18="","",IF(K18&lt;&gt;"",K18,J18))</f>
        <v/>
      </c>
      <c r="M18" s="25">
        <f>IF(OR(B18="",D18=""),"",IF(IFERROR(INDEX($L$9:$L$48,MATCH(D18,$B$9:$B$48,0)),"")=L18,"Sí","No"))</f>
        <v/>
      </c>
      <c r="N18" s="25">
        <f>IF(OR(B18="",E18=""),"",IF(IFERROR(INDEX($L$9:$L$48,MATCH(E18,$B$9:$B$48,0)),"")=L18,"Cumplida","No cumplida"))</f>
        <v/>
      </c>
      <c r="O18" s="24">
        <f>IF(OR(B18="",L18=""),"",L18*100+COUNTIF($L$9:L18,L18))</f>
        <v/>
      </c>
      <c r="P18" s="26">
        <f>IF(B18="","",B18&amp;IF(C18="",""," ("&amp;LEFT(C18,1)&amp;")"))</f>
        <v/>
      </c>
    </row>
    <row r="19">
      <c r="B19" s="22" t="inlineStr">
        <is>
          <t>Martina Sanz</t>
        </is>
      </c>
      <c r="C19" s="23" t="inlineStr">
        <is>
          <t>Alto</t>
        </is>
      </c>
      <c r="D19" s="22" t="n"/>
      <c r="E19" s="22" t="n"/>
      <c r="F19" s="14">
        <f>IF(B19="","",MOD(11*$C$6,1009))</f>
        <v/>
      </c>
      <c r="G19" s="14">
        <f>IF(B19="","",IFERROR(VLOOKUP(C19,Listas!$A$2:$B$4,2,FALSE),2))</f>
        <v/>
      </c>
      <c r="H19" s="24">
        <f>IF(B19="","",G19*10000+F19)</f>
        <v/>
      </c>
      <c r="I19" s="14">
        <f>IF(B19="","",COUNTIF($H$9:$H$48,"&gt;"&amp;H19)+1)</f>
        <v/>
      </c>
      <c r="J19" s="19">
        <f>IF(OR(B19="",$C$5&lt;1),"",IF(MOD(INT((I19-1)/$C$5),2)=0,MOD(I19-1,$C$5)+1,$C$5-MOD(I19-1,$C$5)))</f>
        <v/>
      </c>
      <c r="K19" s="17" t="n"/>
      <c r="L19" s="19">
        <f>IF(B19="","",IF(K19&lt;&gt;"",K19,J19))</f>
        <v/>
      </c>
      <c r="M19" s="25">
        <f>IF(OR(B19="",D19=""),"",IF(IFERROR(INDEX($L$9:$L$48,MATCH(D19,$B$9:$B$48,0)),"")=L19,"Sí","No"))</f>
        <v/>
      </c>
      <c r="N19" s="25">
        <f>IF(OR(B19="",E19=""),"",IF(IFERROR(INDEX($L$9:$L$48,MATCH(E19,$B$9:$B$48,0)),"")=L19,"Cumplida","No cumplida"))</f>
        <v/>
      </c>
      <c r="O19" s="24">
        <f>IF(OR(B19="",L19=""),"",L19*100+COUNTIF($L$9:L19,L19))</f>
        <v/>
      </c>
      <c r="P19" s="26">
        <f>IF(B19="","",B19&amp;IF(C19="",""," ("&amp;LEFT(C19,1)&amp;")"))</f>
        <v/>
      </c>
    </row>
    <row r="20">
      <c r="B20" s="22" t="inlineStr">
        <is>
          <t>Adrián Molina</t>
        </is>
      </c>
      <c r="C20" s="23" t="inlineStr">
        <is>
          <t>Medio</t>
        </is>
      </c>
      <c r="D20" s="22" t="n"/>
      <c r="E20" s="22" t="inlineStr">
        <is>
          <t>Pablo Vega</t>
        </is>
      </c>
      <c r="F20" s="14">
        <f>IF(B20="","",MOD(12*$C$6,1009))</f>
        <v/>
      </c>
      <c r="G20" s="14">
        <f>IF(B20="","",IFERROR(VLOOKUP(C20,Listas!$A$2:$B$4,2,FALSE),2))</f>
        <v/>
      </c>
      <c r="H20" s="24">
        <f>IF(B20="","",G20*10000+F20)</f>
        <v/>
      </c>
      <c r="I20" s="14">
        <f>IF(B20="","",COUNTIF($H$9:$H$48,"&gt;"&amp;H20)+1)</f>
        <v/>
      </c>
      <c r="J20" s="19">
        <f>IF(OR(B20="",$C$5&lt;1),"",IF(MOD(INT((I20-1)/$C$5),2)=0,MOD(I20-1,$C$5)+1,$C$5-MOD(I20-1,$C$5)))</f>
        <v/>
      </c>
      <c r="K20" s="17" t="n"/>
      <c r="L20" s="19">
        <f>IF(B20="","",IF(K20&lt;&gt;"",K20,J20))</f>
        <v/>
      </c>
      <c r="M20" s="25">
        <f>IF(OR(B20="",D20=""),"",IF(IFERROR(INDEX($L$9:$L$48,MATCH(D20,$B$9:$B$48,0)),"")=L20,"Sí","No"))</f>
        <v/>
      </c>
      <c r="N20" s="25">
        <f>IF(OR(B20="",E20=""),"",IF(IFERROR(INDEX($L$9:$L$48,MATCH(E20,$B$9:$B$48,0)),"")=L20,"Cumplida","No cumplida"))</f>
        <v/>
      </c>
      <c r="O20" s="24">
        <f>IF(OR(B20="",L20=""),"",L20*100+COUNTIF($L$9:L20,L20))</f>
        <v/>
      </c>
      <c r="P20" s="26">
        <f>IF(B20="","",B20&amp;IF(C20="",""," ("&amp;LEFT(C20,1)&amp;")"))</f>
        <v/>
      </c>
    </row>
    <row r="21">
      <c r="B21" s="22" t="inlineStr">
        <is>
          <t>Julia Herrera</t>
        </is>
      </c>
      <c r="C21" s="23" t="inlineStr">
        <is>
          <t>Medio</t>
        </is>
      </c>
      <c r="D21" s="22" t="n"/>
      <c r="E21" s="22" t="n"/>
      <c r="F21" s="14">
        <f>IF(B21="","",MOD(13*$C$6,1009))</f>
        <v/>
      </c>
      <c r="G21" s="14">
        <f>IF(B21="","",IFERROR(VLOOKUP(C21,Listas!$A$2:$B$4,2,FALSE),2))</f>
        <v/>
      </c>
      <c r="H21" s="24">
        <f>IF(B21="","",G21*10000+F21)</f>
        <v/>
      </c>
      <c r="I21" s="14">
        <f>IF(B21="","",COUNTIF($H$9:$H$48,"&gt;"&amp;H21)+1)</f>
        <v/>
      </c>
      <c r="J21" s="19">
        <f>IF(OR(B21="",$C$5&lt;1),"",IF(MOD(INT((I21-1)/$C$5),2)=0,MOD(I21-1,$C$5)+1,$C$5-MOD(I21-1,$C$5)))</f>
        <v/>
      </c>
      <c r="K21" s="17" t="n"/>
      <c r="L21" s="19">
        <f>IF(B21="","",IF(K21&lt;&gt;"",K21,J21))</f>
        <v/>
      </c>
      <c r="M21" s="25">
        <f>IF(OR(B21="",D21=""),"",IF(IFERROR(INDEX($L$9:$L$48,MATCH(D21,$B$9:$B$48,0)),"")=L21,"Sí","No"))</f>
        <v/>
      </c>
      <c r="N21" s="25">
        <f>IF(OR(B21="",E21=""),"",IF(IFERROR(INDEX($L$9:$L$48,MATCH(E21,$B$9:$B$48,0)),"")=L21,"Cumplida","No cumplida"))</f>
        <v/>
      </c>
      <c r="O21" s="24">
        <f>IF(OR(B21="",L21=""),"",L21*100+COUNTIF($L$9:L21,L21))</f>
        <v/>
      </c>
      <c r="P21" s="26">
        <f>IF(B21="","",B21&amp;IF(C21="",""," ("&amp;LEFT(C21,1)&amp;")"))</f>
        <v/>
      </c>
    </row>
    <row r="22">
      <c r="B22" s="22" t="inlineStr">
        <is>
          <t>Álvaro Cano</t>
        </is>
      </c>
      <c r="C22" s="23" t="inlineStr">
        <is>
          <t>Bajo</t>
        </is>
      </c>
      <c r="D22" s="22" t="inlineStr">
        <is>
          <t>Iván Romero</t>
        </is>
      </c>
      <c r="E22" s="22" t="n"/>
      <c r="F22" s="14">
        <f>IF(B22="","",MOD(14*$C$6,1009))</f>
        <v/>
      </c>
      <c r="G22" s="14">
        <f>IF(B22="","",IFERROR(VLOOKUP(C22,Listas!$A$2:$B$4,2,FALSE),2))</f>
        <v/>
      </c>
      <c r="H22" s="24">
        <f>IF(B22="","",G22*10000+F22)</f>
        <v/>
      </c>
      <c r="I22" s="14">
        <f>IF(B22="","",COUNTIF($H$9:$H$48,"&gt;"&amp;H22)+1)</f>
        <v/>
      </c>
      <c r="J22" s="19">
        <f>IF(OR(B22="",$C$5&lt;1),"",IF(MOD(INT((I22-1)/$C$5),2)=0,MOD(I22-1,$C$5)+1,$C$5-MOD(I22-1,$C$5)))</f>
        <v/>
      </c>
      <c r="K22" s="17" t="n"/>
      <c r="L22" s="19">
        <f>IF(B22="","",IF(K22&lt;&gt;"",K22,J22))</f>
        <v/>
      </c>
      <c r="M22" s="25">
        <f>IF(OR(B22="",D22=""),"",IF(IFERROR(INDEX($L$9:$L$48,MATCH(D22,$B$9:$B$48,0)),"")=L22,"Sí","No"))</f>
        <v/>
      </c>
      <c r="N22" s="25">
        <f>IF(OR(B22="",E22=""),"",IF(IFERROR(INDEX($L$9:$L$48,MATCH(E22,$B$9:$B$48,0)),"")=L22,"Cumplida","No cumplida"))</f>
        <v/>
      </c>
      <c r="O22" s="24">
        <f>IF(OR(B22="",L22=""),"",L22*100+COUNTIF($L$9:L22,L22))</f>
        <v/>
      </c>
      <c r="P22" s="26">
        <f>IF(B22="","",B22&amp;IF(C22="",""," ("&amp;LEFT(C22,1)&amp;")"))</f>
        <v/>
      </c>
    </row>
    <row r="23">
      <c r="B23" s="22" t="inlineStr">
        <is>
          <t>Valeria Ramos</t>
        </is>
      </c>
      <c r="C23" s="23" t="inlineStr">
        <is>
          <t>Alto</t>
        </is>
      </c>
      <c r="D23" s="22" t="n"/>
      <c r="E23" s="22" t="n"/>
      <c r="F23" s="14">
        <f>IF(B23="","",MOD(15*$C$6,1009))</f>
        <v/>
      </c>
      <c r="G23" s="14">
        <f>IF(B23="","",IFERROR(VLOOKUP(C23,Listas!$A$2:$B$4,2,FALSE),2))</f>
        <v/>
      </c>
      <c r="H23" s="24">
        <f>IF(B23="","",G23*10000+F23)</f>
        <v/>
      </c>
      <c r="I23" s="14">
        <f>IF(B23="","",COUNTIF($H$9:$H$48,"&gt;"&amp;H23)+1)</f>
        <v/>
      </c>
      <c r="J23" s="19">
        <f>IF(OR(B23="",$C$5&lt;1),"",IF(MOD(INT((I23-1)/$C$5),2)=0,MOD(I23-1,$C$5)+1,$C$5-MOD(I23-1,$C$5)))</f>
        <v/>
      </c>
      <c r="K23" s="17" t="n"/>
      <c r="L23" s="19">
        <f>IF(B23="","",IF(K23&lt;&gt;"",K23,J23))</f>
        <v/>
      </c>
      <c r="M23" s="25">
        <f>IF(OR(B23="",D23=""),"",IF(IFERROR(INDEX($L$9:$L$48,MATCH(D23,$B$9:$B$48,0)),"")=L23,"Sí","No"))</f>
        <v/>
      </c>
      <c r="N23" s="25">
        <f>IF(OR(B23="",E23=""),"",IF(IFERROR(INDEX($L$9:$L$48,MATCH(E23,$B$9:$B$48,0)),"")=L23,"Cumplida","No cumplida"))</f>
        <v/>
      </c>
      <c r="O23" s="24">
        <f>IF(OR(B23="",L23=""),"",L23*100+COUNTIF($L$9:L23,L23))</f>
        <v/>
      </c>
      <c r="P23" s="26">
        <f>IF(B23="","",B23&amp;IF(C23="",""," ("&amp;LEFT(C23,1)&amp;")"))</f>
        <v/>
      </c>
    </row>
    <row r="24">
      <c r="B24" s="22" t="inlineStr">
        <is>
          <t>Rubén Iglesias</t>
        </is>
      </c>
      <c r="C24" s="23" t="inlineStr">
        <is>
          <t>Medio</t>
        </is>
      </c>
      <c r="D24" s="22" t="n"/>
      <c r="E24" s="22" t="n"/>
      <c r="F24" s="14">
        <f>IF(B24="","",MOD(16*$C$6,1009))</f>
        <v/>
      </c>
      <c r="G24" s="14">
        <f>IF(B24="","",IFERROR(VLOOKUP(C24,Listas!$A$2:$B$4,2,FALSE),2))</f>
        <v/>
      </c>
      <c r="H24" s="24">
        <f>IF(B24="","",G24*10000+F24)</f>
        <v/>
      </c>
      <c r="I24" s="14">
        <f>IF(B24="","",COUNTIF($H$9:$H$48,"&gt;"&amp;H24)+1)</f>
        <v/>
      </c>
      <c r="J24" s="19">
        <f>IF(OR(B24="",$C$5&lt;1),"",IF(MOD(INT((I24-1)/$C$5),2)=0,MOD(I24-1,$C$5)+1,$C$5-MOD(I24-1,$C$5)))</f>
        <v/>
      </c>
      <c r="K24" s="17" t="n"/>
      <c r="L24" s="19">
        <f>IF(B24="","",IF(K24&lt;&gt;"",K24,J24))</f>
        <v/>
      </c>
      <c r="M24" s="25">
        <f>IF(OR(B24="",D24=""),"",IF(IFERROR(INDEX($L$9:$L$48,MATCH(D24,$B$9:$B$48,0)),"")=L24,"Sí","No"))</f>
        <v/>
      </c>
      <c r="N24" s="25">
        <f>IF(OR(B24="",E24=""),"",IF(IFERROR(INDEX($L$9:$L$48,MATCH(E24,$B$9:$B$48,0)),"")=L24,"Cumplida","No cumplida"))</f>
        <v/>
      </c>
      <c r="O24" s="24">
        <f>IF(OR(B24="",L24=""),"",L24*100+COUNTIF($L$9:L24,L24))</f>
        <v/>
      </c>
      <c r="P24" s="26">
        <f>IF(B24="","",B24&amp;IF(C24="",""," ("&amp;LEFT(C24,1)&amp;")"))</f>
        <v/>
      </c>
    </row>
    <row r="25">
      <c r="B25" s="22" t="inlineStr">
        <is>
          <t>Emma Delgado</t>
        </is>
      </c>
      <c r="C25" s="23" t="inlineStr">
        <is>
          <t>Medio</t>
        </is>
      </c>
      <c r="D25" s="22" t="n"/>
      <c r="E25" s="22" t="inlineStr">
        <is>
          <t>Carla Navarro</t>
        </is>
      </c>
      <c r="F25" s="14">
        <f>IF(B25="","",MOD(17*$C$6,1009))</f>
        <v/>
      </c>
      <c r="G25" s="14">
        <f>IF(B25="","",IFERROR(VLOOKUP(C25,Listas!$A$2:$B$4,2,FALSE),2))</f>
        <v/>
      </c>
      <c r="H25" s="24">
        <f>IF(B25="","",G25*10000+F25)</f>
        <v/>
      </c>
      <c r="I25" s="14">
        <f>IF(B25="","",COUNTIF($H$9:$H$48,"&gt;"&amp;H25)+1)</f>
        <v/>
      </c>
      <c r="J25" s="19">
        <f>IF(OR(B25="",$C$5&lt;1),"",IF(MOD(INT((I25-1)/$C$5),2)=0,MOD(I25-1,$C$5)+1,$C$5-MOD(I25-1,$C$5)))</f>
        <v/>
      </c>
      <c r="K25" s="17" t="n"/>
      <c r="L25" s="19">
        <f>IF(B25="","",IF(K25&lt;&gt;"",K25,J25))</f>
        <v/>
      </c>
      <c r="M25" s="25">
        <f>IF(OR(B25="",D25=""),"",IF(IFERROR(INDEX($L$9:$L$48,MATCH(D25,$B$9:$B$48,0)),"")=L25,"Sí","No"))</f>
        <v/>
      </c>
      <c r="N25" s="25">
        <f>IF(OR(B25="",E25=""),"",IF(IFERROR(INDEX($L$9:$L$48,MATCH(E25,$B$9:$B$48,0)),"")=L25,"Cumplida","No cumplida"))</f>
        <v/>
      </c>
      <c r="O25" s="24">
        <f>IF(OR(B25="",L25=""),"",L25*100+COUNTIF($L$9:L25,L25))</f>
        <v/>
      </c>
      <c r="P25" s="26">
        <f>IF(B25="","",B25&amp;IF(C25="",""," ("&amp;LEFT(C25,1)&amp;")"))</f>
        <v/>
      </c>
    </row>
    <row r="26">
      <c r="B26" s="22" t="inlineStr">
        <is>
          <t>Gonzalo Pastor</t>
        </is>
      </c>
      <c r="C26" s="23" t="inlineStr">
        <is>
          <t>Bajo</t>
        </is>
      </c>
      <c r="D26" s="22" t="n"/>
      <c r="E26" s="22" t="n"/>
      <c r="F26" s="14">
        <f>IF(B26="","",MOD(18*$C$6,1009))</f>
        <v/>
      </c>
      <c r="G26" s="14">
        <f>IF(B26="","",IFERROR(VLOOKUP(C26,Listas!$A$2:$B$4,2,FALSE),2))</f>
        <v/>
      </c>
      <c r="H26" s="24">
        <f>IF(B26="","",G26*10000+F26)</f>
        <v/>
      </c>
      <c r="I26" s="14">
        <f>IF(B26="","",COUNTIF($H$9:$H$48,"&gt;"&amp;H26)+1)</f>
        <v/>
      </c>
      <c r="J26" s="19">
        <f>IF(OR(B26="",$C$5&lt;1),"",IF(MOD(INT((I26-1)/$C$5),2)=0,MOD(I26-1,$C$5)+1,$C$5-MOD(I26-1,$C$5)))</f>
        <v/>
      </c>
      <c r="K26" s="17" t="n"/>
      <c r="L26" s="19">
        <f>IF(B26="","",IF(K26&lt;&gt;"",K26,J26))</f>
        <v/>
      </c>
      <c r="M26" s="25">
        <f>IF(OR(B26="",D26=""),"",IF(IFERROR(INDEX($L$9:$L$48,MATCH(D26,$B$9:$B$48,0)),"")=L26,"Sí","No"))</f>
        <v/>
      </c>
      <c r="N26" s="25">
        <f>IF(OR(B26="",E26=""),"",IF(IFERROR(INDEX($L$9:$L$48,MATCH(E26,$B$9:$B$48,0)),"")=L26,"Cumplida","No cumplida"))</f>
        <v/>
      </c>
      <c r="O26" s="24">
        <f>IF(OR(B26="",L26=""),"",L26*100+COUNTIF($L$9:L26,L26))</f>
        <v/>
      </c>
      <c r="P26" s="26">
        <f>IF(B26="","",B26&amp;IF(C26="",""," ("&amp;LEFT(C26,1)&amp;")"))</f>
        <v/>
      </c>
    </row>
    <row r="27">
      <c r="B27" s="22" t="inlineStr">
        <is>
          <t>Claudia Marín</t>
        </is>
      </c>
      <c r="C27" s="23" t="inlineStr">
        <is>
          <t>Medio</t>
        </is>
      </c>
      <c r="D27" s="22" t="n"/>
      <c r="E27" s="22" t="n"/>
      <c r="F27" s="14">
        <f>IF(B27="","",MOD(19*$C$6,1009))</f>
        <v/>
      </c>
      <c r="G27" s="14">
        <f>IF(B27="","",IFERROR(VLOOKUP(C27,Listas!$A$2:$B$4,2,FALSE),2))</f>
        <v/>
      </c>
      <c r="H27" s="24">
        <f>IF(B27="","",G27*10000+F27)</f>
        <v/>
      </c>
      <c r="I27" s="14">
        <f>IF(B27="","",COUNTIF($H$9:$H$48,"&gt;"&amp;H27)+1)</f>
        <v/>
      </c>
      <c r="J27" s="19">
        <f>IF(OR(B27="",$C$5&lt;1),"",IF(MOD(INT((I27-1)/$C$5),2)=0,MOD(I27-1,$C$5)+1,$C$5-MOD(I27-1,$C$5)))</f>
        <v/>
      </c>
      <c r="K27" s="17" t="n"/>
      <c r="L27" s="19">
        <f>IF(B27="","",IF(K27&lt;&gt;"",K27,J27))</f>
        <v/>
      </c>
      <c r="M27" s="25">
        <f>IF(OR(B27="",D27=""),"",IF(IFERROR(INDEX($L$9:$L$48,MATCH(D27,$B$9:$B$48,0)),"")=L27,"Sí","No"))</f>
        <v/>
      </c>
      <c r="N27" s="25">
        <f>IF(OR(B27="",E27=""),"",IF(IFERROR(INDEX($L$9:$L$48,MATCH(E27,$B$9:$B$48,0)),"")=L27,"Cumplida","No cumplida"))</f>
        <v/>
      </c>
      <c r="O27" s="24">
        <f>IF(OR(B27="",L27=""),"",L27*100+COUNTIF($L$9:L27,L27))</f>
        <v/>
      </c>
      <c r="P27" s="26">
        <f>IF(B27="","",B27&amp;IF(C27="",""," ("&amp;LEFT(C27,1)&amp;")"))</f>
        <v/>
      </c>
    </row>
    <row r="28">
      <c r="B28" s="22" t="inlineStr">
        <is>
          <t>Samuel Vidal</t>
        </is>
      </c>
      <c r="C28" s="23" t="inlineStr">
        <is>
          <t>Alto</t>
        </is>
      </c>
      <c r="D28" s="22" t="n"/>
      <c r="E28" s="22" t="n"/>
      <c r="F28" s="14">
        <f>IF(B28="","",MOD(20*$C$6,1009))</f>
        <v/>
      </c>
      <c r="G28" s="14">
        <f>IF(B28="","",IFERROR(VLOOKUP(C28,Listas!$A$2:$B$4,2,FALSE),2))</f>
        <v/>
      </c>
      <c r="H28" s="24">
        <f>IF(B28="","",G28*10000+F28)</f>
        <v/>
      </c>
      <c r="I28" s="14">
        <f>IF(B28="","",COUNTIF($H$9:$H$48,"&gt;"&amp;H28)+1)</f>
        <v/>
      </c>
      <c r="J28" s="19">
        <f>IF(OR(B28="",$C$5&lt;1),"",IF(MOD(INT((I28-1)/$C$5),2)=0,MOD(I28-1,$C$5)+1,$C$5-MOD(I28-1,$C$5)))</f>
        <v/>
      </c>
      <c r="K28" s="17" t="n"/>
      <c r="L28" s="19">
        <f>IF(B28="","",IF(K28&lt;&gt;"",K28,J28))</f>
        <v/>
      </c>
      <c r="M28" s="25">
        <f>IF(OR(B28="",D28=""),"",IF(IFERROR(INDEX($L$9:$L$48,MATCH(D28,$B$9:$B$48,0)),"")=L28,"Sí","No"))</f>
        <v/>
      </c>
      <c r="N28" s="25">
        <f>IF(OR(B28="",E28=""),"",IF(IFERROR(INDEX($L$9:$L$48,MATCH(E28,$B$9:$B$48,0)),"")=L28,"Cumplida","No cumplida"))</f>
        <v/>
      </c>
      <c r="O28" s="24">
        <f>IF(OR(B28="",L28=""),"",L28*100+COUNTIF($L$9:L28,L28))</f>
        <v/>
      </c>
      <c r="P28" s="26">
        <f>IF(B28="","",B28&amp;IF(C28="",""," ("&amp;LEFT(C28,1)&amp;")"))</f>
        <v/>
      </c>
    </row>
    <row r="29">
      <c r="B29" s="22" t="inlineStr">
        <is>
          <t>Inés Cabrera</t>
        </is>
      </c>
      <c r="C29" s="23" t="inlineStr">
        <is>
          <t>Bajo</t>
        </is>
      </c>
      <c r="D29" s="22" t="n"/>
      <c r="E29" s="22" t="n"/>
      <c r="F29" s="14">
        <f>IF(B29="","",MOD(21*$C$6,1009))</f>
        <v/>
      </c>
      <c r="G29" s="14">
        <f>IF(B29="","",IFERROR(VLOOKUP(C29,Listas!$A$2:$B$4,2,FALSE),2))</f>
        <v/>
      </c>
      <c r="H29" s="24">
        <f>IF(B29="","",G29*10000+F29)</f>
        <v/>
      </c>
      <c r="I29" s="14">
        <f>IF(B29="","",COUNTIF($H$9:$H$48,"&gt;"&amp;H29)+1)</f>
        <v/>
      </c>
      <c r="J29" s="19">
        <f>IF(OR(B29="",$C$5&lt;1),"",IF(MOD(INT((I29-1)/$C$5),2)=0,MOD(I29-1,$C$5)+1,$C$5-MOD(I29-1,$C$5)))</f>
        <v/>
      </c>
      <c r="K29" s="17" t="n"/>
      <c r="L29" s="19">
        <f>IF(B29="","",IF(K29&lt;&gt;"",K29,J29))</f>
        <v/>
      </c>
      <c r="M29" s="25">
        <f>IF(OR(B29="",D29=""),"",IF(IFERROR(INDEX($L$9:$L$48,MATCH(D29,$B$9:$B$48,0)),"")=L29,"Sí","No"))</f>
        <v/>
      </c>
      <c r="N29" s="25">
        <f>IF(OR(B29="",E29=""),"",IF(IFERROR(INDEX($L$9:$L$48,MATCH(E29,$B$9:$B$48,0)),"")=L29,"Cumplida","No cumplida"))</f>
        <v/>
      </c>
      <c r="O29" s="24">
        <f>IF(OR(B29="",L29=""),"",L29*100+COUNTIF($L$9:L29,L29))</f>
        <v/>
      </c>
      <c r="P29" s="26">
        <f>IF(B29="","",B29&amp;IF(C29="",""," ("&amp;LEFT(C29,1)&amp;")"))</f>
        <v/>
      </c>
    </row>
    <row r="30">
      <c r="B30" s="22" t="inlineStr">
        <is>
          <t>Mario Gallego</t>
        </is>
      </c>
      <c r="C30" s="23" t="inlineStr">
        <is>
          <t>Medio</t>
        </is>
      </c>
      <c r="D30" s="22" t="n"/>
      <c r="E30" s="22" t="n"/>
      <c r="F30" s="14">
        <f>IF(B30="","",MOD(22*$C$6,1009))</f>
        <v/>
      </c>
      <c r="G30" s="14">
        <f>IF(B30="","",IFERROR(VLOOKUP(C30,Listas!$A$2:$B$4,2,FALSE),2))</f>
        <v/>
      </c>
      <c r="H30" s="24">
        <f>IF(B30="","",G30*10000+F30)</f>
        <v/>
      </c>
      <c r="I30" s="14">
        <f>IF(B30="","",COUNTIF($H$9:$H$48,"&gt;"&amp;H30)+1)</f>
        <v/>
      </c>
      <c r="J30" s="19">
        <f>IF(OR(B30="",$C$5&lt;1),"",IF(MOD(INT((I30-1)/$C$5),2)=0,MOD(I30-1,$C$5)+1,$C$5-MOD(I30-1,$C$5)))</f>
        <v/>
      </c>
      <c r="K30" s="17" t="n"/>
      <c r="L30" s="19">
        <f>IF(B30="","",IF(K30&lt;&gt;"",K30,J30))</f>
        <v/>
      </c>
      <c r="M30" s="25">
        <f>IF(OR(B30="",D30=""),"",IF(IFERROR(INDEX($L$9:$L$48,MATCH(D30,$B$9:$B$48,0)),"")=L30,"Sí","No"))</f>
        <v/>
      </c>
      <c r="N30" s="25">
        <f>IF(OR(B30="",E30=""),"",IF(IFERROR(INDEX($L$9:$L$48,MATCH(E30,$B$9:$B$48,0)),"")=L30,"Cumplida","No cumplida"))</f>
        <v/>
      </c>
      <c r="O30" s="24">
        <f>IF(OR(B30="",L30=""),"",L30*100+COUNTIF($L$9:L30,L30))</f>
        <v/>
      </c>
      <c r="P30" s="26">
        <f>IF(B30="","",B30&amp;IF(C30="",""," ("&amp;LEFT(C30,1)&amp;")"))</f>
        <v/>
      </c>
    </row>
    <row r="31">
      <c r="B31" s="22" t="inlineStr">
        <is>
          <t>Paula Fuentes</t>
        </is>
      </c>
      <c r="C31" s="23" t="inlineStr">
        <is>
          <t>Alto</t>
        </is>
      </c>
      <c r="D31" s="22" t="n"/>
      <c r="E31" s="22" t="n"/>
      <c r="F31" s="14">
        <f>IF(B31="","",MOD(23*$C$6,1009))</f>
        <v/>
      </c>
      <c r="G31" s="14">
        <f>IF(B31="","",IFERROR(VLOOKUP(C31,Listas!$A$2:$B$4,2,FALSE),2))</f>
        <v/>
      </c>
      <c r="H31" s="24">
        <f>IF(B31="","",G31*10000+F31)</f>
        <v/>
      </c>
      <c r="I31" s="14">
        <f>IF(B31="","",COUNTIF($H$9:$H$48,"&gt;"&amp;H31)+1)</f>
        <v/>
      </c>
      <c r="J31" s="19">
        <f>IF(OR(B31="",$C$5&lt;1),"",IF(MOD(INT((I31-1)/$C$5),2)=0,MOD(I31-1,$C$5)+1,$C$5-MOD(I31-1,$C$5)))</f>
        <v/>
      </c>
      <c r="K31" s="17" t="n"/>
      <c r="L31" s="19">
        <f>IF(B31="","",IF(K31&lt;&gt;"",K31,J31))</f>
        <v/>
      </c>
      <c r="M31" s="25">
        <f>IF(OR(B31="",D31=""),"",IF(IFERROR(INDEX($L$9:$L$48,MATCH(D31,$B$9:$B$48,0)),"")=L31,"Sí","No"))</f>
        <v/>
      </c>
      <c r="N31" s="25">
        <f>IF(OR(B31="",E31=""),"",IF(IFERROR(INDEX($L$9:$L$48,MATCH(E31,$B$9:$B$48,0)),"")=L31,"Cumplida","No cumplida"))</f>
        <v/>
      </c>
      <c r="O31" s="24">
        <f>IF(OR(B31="",L31=""),"",L31*100+COUNTIF($L$9:L31,L31))</f>
        <v/>
      </c>
      <c r="P31" s="26">
        <f>IF(B31="","",B31&amp;IF(C31="",""," ("&amp;LEFT(C31,1)&amp;")"))</f>
        <v/>
      </c>
    </row>
    <row r="32">
      <c r="B32" s="22" t="inlineStr">
        <is>
          <t>Óscar Lozano</t>
        </is>
      </c>
      <c r="C32" s="23" t="inlineStr">
        <is>
          <t>Medio</t>
        </is>
      </c>
      <c r="D32" s="22" t="n"/>
      <c r="E32" s="22" t="n"/>
      <c r="F32" s="14">
        <f>IF(B32="","",MOD(24*$C$6,1009))</f>
        <v/>
      </c>
      <c r="G32" s="14">
        <f>IF(B32="","",IFERROR(VLOOKUP(C32,Listas!$A$2:$B$4,2,FALSE),2))</f>
        <v/>
      </c>
      <c r="H32" s="24">
        <f>IF(B32="","",G32*10000+F32)</f>
        <v/>
      </c>
      <c r="I32" s="14">
        <f>IF(B32="","",COUNTIF($H$9:$H$48,"&gt;"&amp;H32)+1)</f>
        <v/>
      </c>
      <c r="J32" s="19">
        <f>IF(OR(B32="",$C$5&lt;1),"",IF(MOD(INT((I32-1)/$C$5),2)=0,MOD(I32-1,$C$5)+1,$C$5-MOD(I32-1,$C$5)))</f>
        <v/>
      </c>
      <c r="K32" s="17" t="n"/>
      <c r="L32" s="19">
        <f>IF(B32="","",IF(K32&lt;&gt;"",K32,J32))</f>
        <v/>
      </c>
      <c r="M32" s="25">
        <f>IF(OR(B32="",D32=""),"",IF(IFERROR(INDEX($L$9:$L$48,MATCH(D32,$B$9:$B$48,0)),"")=L32,"Sí","No"))</f>
        <v/>
      </c>
      <c r="N32" s="25">
        <f>IF(OR(B32="",E32=""),"",IF(IFERROR(INDEX($L$9:$L$48,MATCH(E32,$B$9:$B$48,0)),"")=L32,"Cumplida","No cumplida"))</f>
        <v/>
      </c>
      <c r="O32" s="24">
        <f>IF(OR(B32="",L32=""),"",L32*100+COUNTIF($L$9:L32,L32))</f>
        <v/>
      </c>
      <c r="P32" s="26">
        <f>IF(B32="","",B32&amp;IF(C32="",""," ("&amp;LEFT(C32,1)&amp;")"))</f>
        <v/>
      </c>
    </row>
    <row r="33">
      <c r="B33" s="22" t="n"/>
      <c r="C33" s="23" t="n"/>
      <c r="D33" s="22" t="n"/>
      <c r="E33" s="22" t="n"/>
      <c r="F33" s="14">
        <f>IF(B33="","",MOD(25*$C$6,1009))</f>
        <v/>
      </c>
      <c r="G33" s="14">
        <f>IF(B33="","",IFERROR(VLOOKUP(C33,Listas!$A$2:$B$4,2,FALSE),2))</f>
        <v/>
      </c>
      <c r="H33" s="24">
        <f>IF(B33="","",G33*10000+F33)</f>
        <v/>
      </c>
      <c r="I33" s="14">
        <f>IF(B33="","",COUNTIF($H$9:$H$48,"&gt;"&amp;H33)+1)</f>
        <v/>
      </c>
      <c r="J33" s="19">
        <f>IF(OR(B33="",$C$5&lt;1),"",IF(MOD(INT((I33-1)/$C$5),2)=0,MOD(I33-1,$C$5)+1,$C$5-MOD(I33-1,$C$5)))</f>
        <v/>
      </c>
      <c r="K33" s="17" t="n"/>
      <c r="L33" s="19">
        <f>IF(B33="","",IF(K33&lt;&gt;"",K33,J33))</f>
        <v/>
      </c>
      <c r="M33" s="25">
        <f>IF(OR(B33="",D33=""),"",IF(IFERROR(INDEX($L$9:$L$48,MATCH(D33,$B$9:$B$48,0)),"")=L33,"Sí","No"))</f>
        <v/>
      </c>
      <c r="N33" s="25">
        <f>IF(OR(B33="",E33=""),"",IF(IFERROR(INDEX($L$9:$L$48,MATCH(E33,$B$9:$B$48,0)),"")=L33,"Cumplida","No cumplida"))</f>
        <v/>
      </c>
      <c r="O33" s="24">
        <f>IF(OR(B33="",L33=""),"",L33*100+COUNTIF($L$9:L33,L33))</f>
        <v/>
      </c>
      <c r="P33" s="26">
        <f>IF(B33="","",B33&amp;IF(C33="",""," ("&amp;LEFT(C33,1)&amp;")"))</f>
        <v/>
      </c>
    </row>
    <row r="34">
      <c r="B34" s="22" t="n"/>
      <c r="C34" s="23" t="n"/>
      <c r="D34" s="22" t="n"/>
      <c r="E34" s="22" t="n"/>
      <c r="F34" s="14">
        <f>IF(B34="","",MOD(26*$C$6,1009))</f>
        <v/>
      </c>
      <c r="G34" s="14">
        <f>IF(B34="","",IFERROR(VLOOKUP(C34,Listas!$A$2:$B$4,2,FALSE),2))</f>
        <v/>
      </c>
      <c r="H34" s="24">
        <f>IF(B34="","",G34*10000+F34)</f>
        <v/>
      </c>
      <c r="I34" s="14">
        <f>IF(B34="","",COUNTIF($H$9:$H$48,"&gt;"&amp;H34)+1)</f>
        <v/>
      </c>
      <c r="J34" s="19">
        <f>IF(OR(B34="",$C$5&lt;1),"",IF(MOD(INT((I34-1)/$C$5),2)=0,MOD(I34-1,$C$5)+1,$C$5-MOD(I34-1,$C$5)))</f>
        <v/>
      </c>
      <c r="K34" s="17" t="n"/>
      <c r="L34" s="19">
        <f>IF(B34="","",IF(K34&lt;&gt;"",K34,J34))</f>
        <v/>
      </c>
      <c r="M34" s="25">
        <f>IF(OR(B34="",D34=""),"",IF(IFERROR(INDEX($L$9:$L$48,MATCH(D34,$B$9:$B$48,0)),"")=L34,"Sí","No"))</f>
        <v/>
      </c>
      <c r="N34" s="25">
        <f>IF(OR(B34="",E34=""),"",IF(IFERROR(INDEX($L$9:$L$48,MATCH(E34,$B$9:$B$48,0)),"")=L34,"Cumplida","No cumplida"))</f>
        <v/>
      </c>
      <c r="O34" s="24">
        <f>IF(OR(B34="",L34=""),"",L34*100+COUNTIF($L$9:L34,L34))</f>
        <v/>
      </c>
      <c r="P34" s="26">
        <f>IF(B34="","",B34&amp;IF(C34="",""," ("&amp;LEFT(C34,1)&amp;")"))</f>
        <v/>
      </c>
    </row>
    <row r="35">
      <c r="B35" s="22" t="n"/>
      <c r="C35" s="23" t="n"/>
      <c r="D35" s="22" t="n"/>
      <c r="E35" s="22" t="n"/>
      <c r="F35" s="14">
        <f>IF(B35="","",MOD(27*$C$6,1009))</f>
        <v/>
      </c>
      <c r="G35" s="14">
        <f>IF(B35="","",IFERROR(VLOOKUP(C35,Listas!$A$2:$B$4,2,FALSE),2))</f>
        <v/>
      </c>
      <c r="H35" s="24">
        <f>IF(B35="","",G35*10000+F35)</f>
        <v/>
      </c>
      <c r="I35" s="14">
        <f>IF(B35="","",COUNTIF($H$9:$H$48,"&gt;"&amp;H35)+1)</f>
        <v/>
      </c>
      <c r="J35" s="19">
        <f>IF(OR(B35="",$C$5&lt;1),"",IF(MOD(INT((I35-1)/$C$5),2)=0,MOD(I35-1,$C$5)+1,$C$5-MOD(I35-1,$C$5)))</f>
        <v/>
      </c>
      <c r="K35" s="17" t="n"/>
      <c r="L35" s="19">
        <f>IF(B35="","",IF(K35&lt;&gt;"",K35,J35))</f>
        <v/>
      </c>
      <c r="M35" s="25">
        <f>IF(OR(B35="",D35=""),"",IF(IFERROR(INDEX($L$9:$L$48,MATCH(D35,$B$9:$B$48,0)),"")=L35,"Sí","No"))</f>
        <v/>
      </c>
      <c r="N35" s="25">
        <f>IF(OR(B35="",E35=""),"",IF(IFERROR(INDEX($L$9:$L$48,MATCH(E35,$B$9:$B$48,0)),"")=L35,"Cumplida","No cumplida"))</f>
        <v/>
      </c>
      <c r="O35" s="24">
        <f>IF(OR(B35="",L35=""),"",L35*100+COUNTIF($L$9:L35,L35))</f>
        <v/>
      </c>
      <c r="P35" s="26">
        <f>IF(B35="","",B35&amp;IF(C35="",""," ("&amp;LEFT(C35,1)&amp;")"))</f>
        <v/>
      </c>
    </row>
    <row r="36">
      <c r="B36" s="22" t="n"/>
      <c r="C36" s="23" t="n"/>
      <c r="D36" s="22" t="n"/>
      <c r="E36" s="22" t="n"/>
      <c r="F36" s="14">
        <f>IF(B36="","",MOD(28*$C$6,1009))</f>
        <v/>
      </c>
      <c r="G36" s="14">
        <f>IF(B36="","",IFERROR(VLOOKUP(C36,Listas!$A$2:$B$4,2,FALSE),2))</f>
        <v/>
      </c>
      <c r="H36" s="24">
        <f>IF(B36="","",G36*10000+F36)</f>
        <v/>
      </c>
      <c r="I36" s="14">
        <f>IF(B36="","",COUNTIF($H$9:$H$48,"&gt;"&amp;H36)+1)</f>
        <v/>
      </c>
      <c r="J36" s="19">
        <f>IF(OR(B36="",$C$5&lt;1),"",IF(MOD(INT((I36-1)/$C$5),2)=0,MOD(I36-1,$C$5)+1,$C$5-MOD(I36-1,$C$5)))</f>
        <v/>
      </c>
      <c r="K36" s="17" t="n"/>
      <c r="L36" s="19">
        <f>IF(B36="","",IF(K36&lt;&gt;"",K36,J36))</f>
        <v/>
      </c>
      <c r="M36" s="25">
        <f>IF(OR(B36="",D36=""),"",IF(IFERROR(INDEX($L$9:$L$48,MATCH(D36,$B$9:$B$48,0)),"")=L36,"Sí","No"))</f>
        <v/>
      </c>
      <c r="N36" s="25">
        <f>IF(OR(B36="",E36=""),"",IF(IFERROR(INDEX($L$9:$L$48,MATCH(E36,$B$9:$B$48,0)),"")=L36,"Cumplida","No cumplida"))</f>
        <v/>
      </c>
      <c r="O36" s="24">
        <f>IF(OR(B36="",L36=""),"",L36*100+COUNTIF($L$9:L36,L36))</f>
        <v/>
      </c>
      <c r="P36" s="26">
        <f>IF(B36="","",B36&amp;IF(C36="",""," ("&amp;LEFT(C36,1)&amp;")"))</f>
        <v/>
      </c>
    </row>
    <row r="37">
      <c r="B37" s="22" t="n"/>
      <c r="C37" s="23" t="n"/>
      <c r="D37" s="22" t="n"/>
      <c r="E37" s="22" t="n"/>
      <c r="F37" s="14">
        <f>IF(B37="","",MOD(29*$C$6,1009))</f>
        <v/>
      </c>
      <c r="G37" s="14">
        <f>IF(B37="","",IFERROR(VLOOKUP(C37,Listas!$A$2:$B$4,2,FALSE),2))</f>
        <v/>
      </c>
      <c r="H37" s="24">
        <f>IF(B37="","",G37*10000+F37)</f>
        <v/>
      </c>
      <c r="I37" s="14">
        <f>IF(B37="","",COUNTIF($H$9:$H$48,"&gt;"&amp;H37)+1)</f>
        <v/>
      </c>
      <c r="J37" s="19">
        <f>IF(OR(B37="",$C$5&lt;1),"",IF(MOD(INT((I37-1)/$C$5),2)=0,MOD(I37-1,$C$5)+1,$C$5-MOD(I37-1,$C$5)))</f>
        <v/>
      </c>
      <c r="K37" s="17" t="n"/>
      <c r="L37" s="19">
        <f>IF(B37="","",IF(K37&lt;&gt;"",K37,J37))</f>
        <v/>
      </c>
      <c r="M37" s="25">
        <f>IF(OR(B37="",D37=""),"",IF(IFERROR(INDEX($L$9:$L$48,MATCH(D37,$B$9:$B$48,0)),"")=L37,"Sí","No"))</f>
        <v/>
      </c>
      <c r="N37" s="25">
        <f>IF(OR(B37="",E37=""),"",IF(IFERROR(INDEX($L$9:$L$48,MATCH(E37,$B$9:$B$48,0)),"")=L37,"Cumplida","No cumplida"))</f>
        <v/>
      </c>
      <c r="O37" s="24">
        <f>IF(OR(B37="",L37=""),"",L37*100+COUNTIF($L$9:L37,L37))</f>
        <v/>
      </c>
      <c r="P37" s="26">
        <f>IF(B37="","",B37&amp;IF(C37="",""," ("&amp;LEFT(C37,1)&amp;")"))</f>
        <v/>
      </c>
    </row>
    <row r="38">
      <c r="B38" s="22" t="n"/>
      <c r="C38" s="23" t="n"/>
      <c r="D38" s="22" t="n"/>
      <c r="E38" s="22" t="n"/>
      <c r="F38" s="14">
        <f>IF(B38="","",MOD(30*$C$6,1009))</f>
        <v/>
      </c>
      <c r="G38" s="14">
        <f>IF(B38="","",IFERROR(VLOOKUP(C38,Listas!$A$2:$B$4,2,FALSE),2))</f>
        <v/>
      </c>
      <c r="H38" s="24">
        <f>IF(B38="","",G38*10000+F38)</f>
        <v/>
      </c>
      <c r="I38" s="14">
        <f>IF(B38="","",COUNTIF($H$9:$H$48,"&gt;"&amp;H38)+1)</f>
        <v/>
      </c>
      <c r="J38" s="19">
        <f>IF(OR(B38="",$C$5&lt;1),"",IF(MOD(INT((I38-1)/$C$5),2)=0,MOD(I38-1,$C$5)+1,$C$5-MOD(I38-1,$C$5)))</f>
        <v/>
      </c>
      <c r="K38" s="17" t="n"/>
      <c r="L38" s="19">
        <f>IF(B38="","",IF(K38&lt;&gt;"",K38,J38))</f>
        <v/>
      </c>
      <c r="M38" s="25">
        <f>IF(OR(B38="",D38=""),"",IF(IFERROR(INDEX($L$9:$L$48,MATCH(D38,$B$9:$B$48,0)),"")=L38,"Sí","No"))</f>
        <v/>
      </c>
      <c r="N38" s="25">
        <f>IF(OR(B38="",E38=""),"",IF(IFERROR(INDEX($L$9:$L$48,MATCH(E38,$B$9:$B$48,0)),"")=L38,"Cumplida","No cumplida"))</f>
        <v/>
      </c>
      <c r="O38" s="24">
        <f>IF(OR(B38="",L38=""),"",L38*100+COUNTIF($L$9:L38,L38))</f>
        <v/>
      </c>
      <c r="P38" s="26">
        <f>IF(B38="","",B38&amp;IF(C38="",""," ("&amp;LEFT(C38,1)&amp;")"))</f>
        <v/>
      </c>
    </row>
    <row r="39">
      <c r="B39" s="22" t="n"/>
      <c r="C39" s="23" t="n"/>
      <c r="D39" s="22" t="n"/>
      <c r="E39" s="22" t="n"/>
      <c r="F39" s="14">
        <f>IF(B39="","",MOD(31*$C$6,1009))</f>
        <v/>
      </c>
      <c r="G39" s="14">
        <f>IF(B39="","",IFERROR(VLOOKUP(C39,Listas!$A$2:$B$4,2,FALSE),2))</f>
        <v/>
      </c>
      <c r="H39" s="24">
        <f>IF(B39="","",G39*10000+F39)</f>
        <v/>
      </c>
      <c r="I39" s="14">
        <f>IF(B39="","",COUNTIF($H$9:$H$48,"&gt;"&amp;H39)+1)</f>
        <v/>
      </c>
      <c r="J39" s="19">
        <f>IF(OR(B39="",$C$5&lt;1),"",IF(MOD(INT((I39-1)/$C$5),2)=0,MOD(I39-1,$C$5)+1,$C$5-MOD(I39-1,$C$5)))</f>
        <v/>
      </c>
      <c r="K39" s="17" t="n"/>
      <c r="L39" s="19">
        <f>IF(B39="","",IF(K39&lt;&gt;"",K39,J39))</f>
        <v/>
      </c>
      <c r="M39" s="25">
        <f>IF(OR(B39="",D39=""),"",IF(IFERROR(INDEX($L$9:$L$48,MATCH(D39,$B$9:$B$48,0)),"")=L39,"Sí","No"))</f>
        <v/>
      </c>
      <c r="N39" s="25">
        <f>IF(OR(B39="",E39=""),"",IF(IFERROR(INDEX($L$9:$L$48,MATCH(E39,$B$9:$B$48,0)),"")=L39,"Cumplida","No cumplida"))</f>
        <v/>
      </c>
      <c r="O39" s="24">
        <f>IF(OR(B39="",L39=""),"",L39*100+COUNTIF($L$9:L39,L39))</f>
        <v/>
      </c>
      <c r="P39" s="26">
        <f>IF(B39="","",B39&amp;IF(C39="",""," ("&amp;LEFT(C39,1)&amp;")"))</f>
        <v/>
      </c>
    </row>
    <row r="40">
      <c r="B40" s="22" t="n"/>
      <c r="C40" s="23" t="n"/>
      <c r="D40" s="22" t="n"/>
      <c r="E40" s="22" t="n"/>
      <c r="F40" s="14">
        <f>IF(B40="","",MOD(32*$C$6,1009))</f>
        <v/>
      </c>
      <c r="G40" s="14">
        <f>IF(B40="","",IFERROR(VLOOKUP(C40,Listas!$A$2:$B$4,2,FALSE),2))</f>
        <v/>
      </c>
      <c r="H40" s="24">
        <f>IF(B40="","",G40*10000+F40)</f>
        <v/>
      </c>
      <c r="I40" s="14">
        <f>IF(B40="","",COUNTIF($H$9:$H$48,"&gt;"&amp;H40)+1)</f>
        <v/>
      </c>
      <c r="J40" s="19">
        <f>IF(OR(B40="",$C$5&lt;1),"",IF(MOD(INT((I40-1)/$C$5),2)=0,MOD(I40-1,$C$5)+1,$C$5-MOD(I40-1,$C$5)))</f>
        <v/>
      </c>
      <c r="K40" s="17" t="n"/>
      <c r="L40" s="19">
        <f>IF(B40="","",IF(K40&lt;&gt;"",K40,J40))</f>
        <v/>
      </c>
      <c r="M40" s="25">
        <f>IF(OR(B40="",D40=""),"",IF(IFERROR(INDEX($L$9:$L$48,MATCH(D40,$B$9:$B$48,0)),"")=L40,"Sí","No"))</f>
        <v/>
      </c>
      <c r="N40" s="25">
        <f>IF(OR(B40="",E40=""),"",IF(IFERROR(INDEX($L$9:$L$48,MATCH(E40,$B$9:$B$48,0)),"")=L40,"Cumplida","No cumplida"))</f>
        <v/>
      </c>
      <c r="O40" s="24">
        <f>IF(OR(B40="",L40=""),"",L40*100+COUNTIF($L$9:L40,L40))</f>
        <v/>
      </c>
      <c r="P40" s="26">
        <f>IF(B40="","",B40&amp;IF(C40="",""," ("&amp;LEFT(C40,1)&amp;")"))</f>
        <v/>
      </c>
    </row>
    <row r="41">
      <c r="B41" s="22" t="n"/>
      <c r="C41" s="23" t="n"/>
      <c r="D41" s="22" t="n"/>
      <c r="E41" s="22" t="n"/>
      <c r="F41" s="14">
        <f>IF(B41="","",MOD(33*$C$6,1009))</f>
        <v/>
      </c>
      <c r="G41" s="14">
        <f>IF(B41="","",IFERROR(VLOOKUP(C41,Listas!$A$2:$B$4,2,FALSE),2))</f>
        <v/>
      </c>
      <c r="H41" s="24">
        <f>IF(B41="","",G41*10000+F41)</f>
        <v/>
      </c>
      <c r="I41" s="14">
        <f>IF(B41="","",COUNTIF($H$9:$H$48,"&gt;"&amp;H41)+1)</f>
        <v/>
      </c>
      <c r="J41" s="19">
        <f>IF(OR(B41="",$C$5&lt;1),"",IF(MOD(INT((I41-1)/$C$5),2)=0,MOD(I41-1,$C$5)+1,$C$5-MOD(I41-1,$C$5)))</f>
        <v/>
      </c>
      <c r="K41" s="17" t="n"/>
      <c r="L41" s="19">
        <f>IF(B41="","",IF(K41&lt;&gt;"",K41,J41))</f>
        <v/>
      </c>
      <c r="M41" s="25">
        <f>IF(OR(B41="",D41=""),"",IF(IFERROR(INDEX($L$9:$L$48,MATCH(D41,$B$9:$B$48,0)),"")=L41,"Sí","No"))</f>
        <v/>
      </c>
      <c r="N41" s="25">
        <f>IF(OR(B41="",E41=""),"",IF(IFERROR(INDEX($L$9:$L$48,MATCH(E41,$B$9:$B$48,0)),"")=L41,"Cumplida","No cumplida"))</f>
        <v/>
      </c>
      <c r="O41" s="24">
        <f>IF(OR(B41="",L41=""),"",L41*100+COUNTIF($L$9:L41,L41))</f>
        <v/>
      </c>
      <c r="P41" s="26">
        <f>IF(B41="","",B41&amp;IF(C41="",""," ("&amp;LEFT(C41,1)&amp;")"))</f>
        <v/>
      </c>
    </row>
    <row r="42">
      <c r="B42" s="22" t="n"/>
      <c r="C42" s="23" t="n"/>
      <c r="D42" s="22" t="n"/>
      <c r="E42" s="22" t="n"/>
      <c r="F42" s="14">
        <f>IF(B42="","",MOD(34*$C$6,1009))</f>
        <v/>
      </c>
      <c r="G42" s="14">
        <f>IF(B42="","",IFERROR(VLOOKUP(C42,Listas!$A$2:$B$4,2,FALSE),2))</f>
        <v/>
      </c>
      <c r="H42" s="24">
        <f>IF(B42="","",G42*10000+F42)</f>
        <v/>
      </c>
      <c r="I42" s="14">
        <f>IF(B42="","",COUNTIF($H$9:$H$48,"&gt;"&amp;H42)+1)</f>
        <v/>
      </c>
      <c r="J42" s="19">
        <f>IF(OR(B42="",$C$5&lt;1),"",IF(MOD(INT((I42-1)/$C$5),2)=0,MOD(I42-1,$C$5)+1,$C$5-MOD(I42-1,$C$5)))</f>
        <v/>
      </c>
      <c r="K42" s="17" t="n"/>
      <c r="L42" s="19">
        <f>IF(B42="","",IF(K42&lt;&gt;"",K42,J42))</f>
        <v/>
      </c>
      <c r="M42" s="25">
        <f>IF(OR(B42="",D42=""),"",IF(IFERROR(INDEX($L$9:$L$48,MATCH(D42,$B$9:$B$48,0)),"")=L42,"Sí","No"))</f>
        <v/>
      </c>
      <c r="N42" s="25">
        <f>IF(OR(B42="",E42=""),"",IF(IFERROR(INDEX($L$9:$L$48,MATCH(E42,$B$9:$B$48,0)),"")=L42,"Cumplida","No cumplida"))</f>
        <v/>
      </c>
      <c r="O42" s="24">
        <f>IF(OR(B42="",L42=""),"",L42*100+COUNTIF($L$9:L42,L42))</f>
        <v/>
      </c>
      <c r="P42" s="26">
        <f>IF(B42="","",B42&amp;IF(C42="",""," ("&amp;LEFT(C42,1)&amp;")"))</f>
        <v/>
      </c>
    </row>
    <row r="43">
      <c r="B43" s="22" t="n"/>
      <c r="C43" s="23" t="n"/>
      <c r="D43" s="22" t="n"/>
      <c r="E43" s="22" t="n"/>
      <c r="F43" s="14">
        <f>IF(B43="","",MOD(35*$C$6,1009))</f>
        <v/>
      </c>
      <c r="G43" s="14">
        <f>IF(B43="","",IFERROR(VLOOKUP(C43,Listas!$A$2:$B$4,2,FALSE),2))</f>
        <v/>
      </c>
      <c r="H43" s="24">
        <f>IF(B43="","",G43*10000+F43)</f>
        <v/>
      </c>
      <c r="I43" s="14">
        <f>IF(B43="","",COUNTIF($H$9:$H$48,"&gt;"&amp;H43)+1)</f>
        <v/>
      </c>
      <c r="J43" s="19">
        <f>IF(OR(B43="",$C$5&lt;1),"",IF(MOD(INT((I43-1)/$C$5),2)=0,MOD(I43-1,$C$5)+1,$C$5-MOD(I43-1,$C$5)))</f>
        <v/>
      </c>
      <c r="K43" s="17" t="n"/>
      <c r="L43" s="19">
        <f>IF(B43="","",IF(K43&lt;&gt;"",K43,J43))</f>
        <v/>
      </c>
      <c r="M43" s="25">
        <f>IF(OR(B43="",D43=""),"",IF(IFERROR(INDEX($L$9:$L$48,MATCH(D43,$B$9:$B$48,0)),"")=L43,"Sí","No"))</f>
        <v/>
      </c>
      <c r="N43" s="25">
        <f>IF(OR(B43="",E43=""),"",IF(IFERROR(INDEX($L$9:$L$48,MATCH(E43,$B$9:$B$48,0)),"")=L43,"Cumplida","No cumplida"))</f>
        <v/>
      </c>
      <c r="O43" s="24">
        <f>IF(OR(B43="",L43=""),"",L43*100+COUNTIF($L$9:L43,L43))</f>
        <v/>
      </c>
      <c r="P43" s="26">
        <f>IF(B43="","",B43&amp;IF(C43="",""," ("&amp;LEFT(C43,1)&amp;")"))</f>
        <v/>
      </c>
    </row>
    <row r="44">
      <c r="B44" s="22" t="n"/>
      <c r="C44" s="23" t="n"/>
      <c r="D44" s="22" t="n"/>
      <c r="E44" s="22" t="n"/>
      <c r="F44" s="14">
        <f>IF(B44="","",MOD(36*$C$6,1009))</f>
        <v/>
      </c>
      <c r="G44" s="14">
        <f>IF(B44="","",IFERROR(VLOOKUP(C44,Listas!$A$2:$B$4,2,FALSE),2))</f>
        <v/>
      </c>
      <c r="H44" s="24">
        <f>IF(B44="","",G44*10000+F44)</f>
        <v/>
      </c>
      <c r="I44" s="14">
        <f>IF(B44="","",COUNTIF($H$9:$H$48,"&gt;"&amp;H44)+1)</f>
        <v/>
      </c>
      <c r="J44" s="19">
        <f>IF(OR(B44="",$C$5&lt;1),"",IF(MOD(INT((I44-1)/$C$5),2)=0,MOD(I44-1,$C$5)+1,$C$5-MOD(I44-1,$C$5)))</f>
        <v/>
      </c>
      <c r="K44" s="17" t="n"/>
      <c r="L44" s="19">
        <f>IF(B44="","",IF(K44&lt;&gt;"",K44,J44))</f>
        <v/>
      </c>
      <c r="M44" s="25">
        <f>IF(OR(B44="",D44=""),"",IF(IFERROR(INDEX($L$9:$L$48,MATCH(D44,$B$9:$B$48,0)),"")=L44,"Sí","No"))</f>
        <v/>
      </c>
      <c r="N44" s="25">
        <f>IF(OR(B44="",E44=""),"",IF(IFERROR(INDEX($L$9:$L$48,MATCH(E44,$B$9:$B$48,0)),"")=L44,"Cumplida","No cumplida"))</f>
        <v/>
      </c>
      <c r="O44" s="24">
        <f>IF(OR(B44="",L44=""),"",L44*100+COUNTIF($L$9:L44,L44))</f>
        <v/>
      </c>
      <c r="P44" s="26">
        <f>IF(B44="","",B44&amp;IF(C44="",""," ("&amp;LEFT(C44,1)&amp;")"))</f>
        <v/>
      </c>
    </row>
    <row r="45">
      <c r="B45" s="22" t="n"/>
      <c r="C45" s="23" t="n"/>
      <c r="D45" s="22" t="n"/>
      <c r="E45" s="22" t="n"/>
      <c r="F45" s="14">
        <f>IF(B45="","",MOD(37*$C$6,1009))</f>
        <v/>
      </c>
      <c r="G45" s="14">
        <f>IF(B45="","",IFERROR(VLOOKUP(C45,Listas!$A$2:$B$4,2,FALSE),2))</f>
        <v/>
      </c>
      <c r="H45" s="24">
        <f>IF(B45="","",G45*10000+F45)</f>
        <v/>
      </c>
      <c r="I45" s="14">
        <f>IF(B45="","",COUNTIF($H$9:$H$48,"&gt;"&amp;H45)+1)</f>
        <v/>
      </c>
      <c r="J45" s="19">
        <f>IF(OR(B45="",$C$5&lt;1),"",IF(MOD(INT((I45-1)/$C$5),2)=0,MOD(I45-1,$C$5)+1,$C$5-MOD(I45-1,$C$5)))</f>
        <v/>
      </c>
      <c r="K45" s="17" t="n"/>
      <c r="L45" s="19">
        <f>IF(B45="","",IF(K45&lt;&gt;"",K45,J45))</f>
        <v/>
      </c>
      <c r="M45" s="25">
        <f>IF(OR(B45="",D45=""),"",IF(IFERROR(INDEX($L$9:$L$48,MATCH(D45,$B$9:$B$48,0)),"")=L45,"Sí","No"))</f>
        <v/>
      </c>
      <c r="N45" s="25">
        <f>IF(OR(B45="",E45=""),"",IF(IFERROR(INDEX($L$9:$L$48,MATCH(E45,$B$9:$B$48,0)),"")=L45,"Cumplida","No cumplida"))</f>
        <v/>
      </c>
      <c r="O45" s="24">
        <f>IF(OR(B45="",L45=""),"",L45*100+COUNTIF($L$9:L45,L45))</f>
        <v/>
      </c>
      <c r="P45" s="26">
        <f>IF(B45="","",B45&amp;IF(C45="",""," ("&amp;LEFT(C45,1)&amp;")"))</f>
        <v/>
      </c>
    </row>
    <row r="46">
      <c r="B46" s="22" t="n"/>
      <c r="C46" s="23" t="n"/>
      <c r="D46" s="22" t="n"/>
      <c r="E46" s="22" t="n"/>
      <c r="F46" s="14">
        <f>IF(B46="","",MOD(38*$C$6,1009))</f>
        <v/>
      </c>
      <c r="G46" s="14">
        <f>IF(B46="","",IFERROR(VLOOKUP(C46,Listas!$A$2:$B$4,2,FALSE),2))</f>
        <v/>
      </c>
      <c r="H46" s="24">
        <f>IF(B46="","",G46*10000+F46)</f>
        <v/>
      </c>
      <c r="I46" s="14">
        <f>IF(B46="","",COUNTIF($H$9:$H$48,"&gt;"&amp;H46)+1)</f>
        <v/>
      </c>
      <c r="J46" s="19">
        <f>IF(OR(B46="",$C$5&lt;1),"",IF(MOD(INT((I46-1)/$C$5),2)=0,MOD(I46-1,$C$5)+1,$C$5-MOD(I46-1,$C$5)))</f>
        <v/>
      </c>
      <c r="K46" s="17" t="n"/>
      <c r="L46" s="19">
        <f>IF(B46="","",IF(K46&lt;&gt;"",K46,J46))</f>
        <v/>
      </c>
      <c r="M46" s="25">
        <f>IF(OR(B46="",D46=""),"",IF(IFERROR(INDEX($L$9:$L$48,MATCH(D46,$B$9:$B$48,0)),"")=L46,"Sí","No"))</f>
        <v/>
      </c>
      <c r="N46" s="25">
        <f>IF(OR(B46="",E46=""),"",IF(IFERROR(INDEX($L$9:$L$48,MATCH(E46,$B$9:$B$48,0)),"")=L46,"Cumplida","No cumplida"))</f>
        <v/>
      </c>
      <c r="O46" s="24">
        <f>IF(OR(B46="",L46=""),"",L46*100+COUNTIF($L$9:L46,L46))</f>
        <v/>
      </c>
      <c r="P46" s="26">
        <f>IF(B46="","",B46&amp;IF(C46="",""," ("&amp;LEFT(C46,1)&amp;")"))</f>
        <v/>
      </c>
    </row>
    <row r="47">
      <c r="B47" s="22" t="n"/>
      <c r="C47" s="23" t="n"/>
      <c r="D47" s="22" t="n"/>
      <c r="E47" s="22" t="n"/>
      <c r="F47" s="14">
        <f>IF(B47="","",MOD(39*$C$6,1009))</f>
        <v/>
      </c>
      <c r="G47" s="14">
        <f>IF(B47="","",IFERROR(VLOOKUP(C47,Listas!$A$2:$B$4,2,FALSE),2))</f>
        <v/>
      </c>
      <c r="H47" s="24">
        <f>IF(B47="","",G47*10000+F47)</f>
        <v/>
      </c>
      <c r="I47" s="14">
        <f>IF(B47="","",COUNTIF($H$9:$H$48,"&gt;"&amp;H47)+1)</f>
        <v/>
      </c>
      <c r="J47" s="19">
        <f>IF(OR(B47="",$C$5&lt;1),"",IF(MOD(INT((I47-1)/$C$5),2)=0,MOD(I47-1,$C$5)+1,$C$5-MOD(I47-1,$C$5)))</f>
        <v/>
      </c>
      <c r="K47" s="17" t="n"/>
      <c r="L47" s="19">
        <f>IF(B47="","",IF(K47&lt;&gt;"",K47,J47))</f>
        <v/>
      </c>
      <c r="M47" s="25">
        <f>IF(OR(B47="",D47=""),"",IF(IFERROR(INDEX($L$9:$L$48,MATCH(D47,$B$9:$B$48,0)),"")=L47,"Sí","No"))</f>
        <v/>
      </c>
      <c r="N47" s="25">
        <f>IF(OR(B47="",E47=""),"",IF(IFERROR(INDEX($L$9:$L$48,MATCH(E47,$B$9:$B$48,0)),"")=L47,"Cumplida","No cumplida"))</f>
        <v/>
      </c>
      <c r="O47" s="24">
        <f>IF(OR(B47="",L47=""),"",L47*100+COUNTIF($L$9:L47,L47))</f>
        <v/>
      </c>
      <c r="P47" s="26">
        <f>IF(B47="","",B47&amp;IF(C47="",""," ("&amp;LEFT(C47,1)&amp;")"))</f>
        <v/>
      </c>
    </row>
    <row r="48">
      <c r="B48" s="22" t="n"/>
      <c r="C48" s="23" t="n"/>
      <c r="D48" s="22" t="n"/>
      <c r="E48" s="22" t="n"/>
      <c r="F48" s="14">
        <f>IF(B48="","",MOD(40*$C$6,1009))</f>
        <v/>
      </c>
      <c r="G48" s="14">
        <f>IF(B48="","",IFERROR(VLOOKUP(C48,Listas!$A$2:$B$4,2,FALSE),2))</f>
        <v/>
      </c>
      <c r="H48" s="24">
        <f>IF(B48="","",G48*10000+F48)</f>
        <v/>
      </c>
      <c r="I48" s="14">
        <f>IF(B48="","",COUNTIF($H$9:$H$48,"&gt;"&amp;H48)+1)</f>
        <v/>
      </c>
      <c r="J48" s="19">
        <f>IF(OR(B48="",$C$5&lt;1),"",IF(MOD(INT((I48-1)/$C$5),2)=0,MOD(I48-1,$C$5)+1,$C$5-MOD(I48-1,$C$5)))</f>
        <v/>
      </c>
      <c r="K48" s="17" t="n"/>
      <c r="L48" s="19">
        <f>IF(B48="","",IF(K48&lt;&gt;"",K48,J48))</f>
        <v/>
      </c>
      <c r="M48" s="25">
        <f>IF(OR(B48="",D48=""),"",IF(IFERROR(INDEX($L$9:$L$48,MATCH(D48,$B$9:$B$48,0)),"")=L48,"Sí","No"))</f>
        <v/>
      </c>
      <c r="N48" s="25">
        <f>IF(OR(B48="",E48=""),"",IF(IFERROR(INDEX($L$9:$L$48,MATCH(E48,$B$9:$B$48,0)),"")=L48,"Cumplida","No cumplida"))</f>
        <v/>
      </c>
      <c r="O48" s="24">
        <f>IF(OR(B48="",L48=""),"",L48*100+COUNTIF($L$9:L48,L48))</f>
        <v/>
      </c>
      <c r="P48" s="26">
        <f>IF(B48="","",B48&amp;IF(C48="",""," ("&amp;LEFT(C48,1)&amp;")"))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N3"/>
    <mergeCell ref="B2:N2"/>
  </mergeCells>
  <conditionalFormatting sqref="M9:M48">
    <cfRule type="cellIs" priority="1" operator="equal" dxfId="2">
      <formula>"Sí"</formula>
    </cfRule>
    <cfRule type="cellIs" priority="2" operator="equal" dxfId="0">
      <formula>"No"</formula>
    </cfRule>
  </conditionalFormatting>
  <conditionalFormatting sqref="N9:N48">
    <cfRule type="cellIs" priority="3" operator="equal" dxfId="0">
      <formula>"Cumplida"</formula>
    </cfRule>
    <cfRule type="cellIs" priority="4" operator="equal" dxfId="1">
      <formula>"No cumplida"</formula>
    </cfRule>
  </conditionalFormatting>
  <conditionalFormatting sqref="C9:C48">
    <cfRule type="cellIs" priority="5" operator="equal" dxfId="0">
      <formula>"Alto"</formula>
    </cfRule>
    <cfRule type="cellIs" priority="6" operator="equal" dxfId="1">
      <formula>"Bajo"</formula>
    </cfRule>
  </conditionalFormatting>
  <dataValidations count="5">
    <dataValidation sqref="C9:C48" showDropDown="0" showInputMessage="0" showErrorMessage="0" allowBlank="1" type="list">
      <formula1>=Listas!$A$2:$A$4</formula1>
    </dataValidation>
    <dataValidation sqref="D9:E48" showDropDown="0" showInputMessage="0" showErrorMessage="0" allowBlank="1" type="list">
      <formula1>=Alumnado!$B$9:$B$48</formula1>
    </dataValidation>
    <dataValidation sqref="C5" showDropDown="0" showInputMessage="0" showErrorMessage="1" allowBlank="1" errorTitle="Nº de grupos" error="Escribe un número entero entre 1 y 8." type="whole" operator="between">
      <formula1>1</formula1>
      <formula2>8</formula2>
    </dataValidation>
    <dataValidation sqref="C6" showDropDown="0" showInputMessage="0" showErrorMessage="1" allowBlank="1" errorTitle="Semilla" error="Escribe un número entero entre 1 y 1008." type="whole" operator="between">
      <formula1>1</formula1>
      <formula2>1008</formula2>
    </dataValidation>
    <dataValidation sqref="K9:K48" showDropDown="0" showInputMessage="0" showErrorMessage="1" allowBlank="1" errorTitle="Grupo manual" error="Escribe un número de grupo entre 1 y 8 o deja la celda vacía." type="whole" operator="between">
      <formula1>1</formula1>
      <formula2>8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A2:I2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4" customWidth="1" min="1" max="1"/>
    <col width="20" customWidth="1" min="2" max="2"/>
    <col width="11" customWidth="1" min="3" max="3"/>
    <col width="9" customWidth="1" min="4" max="4"/>
    <col width="9" customWidth="1" min="5" max="5"/>
    <col width="9" customWidth="1" min="6" max="6"/>
    <col width="12" customWidth="1" min="7" max="7"/>
    <col width="12" customWidth="1" min="8" max="8"/>
    <col width="15" customWidth="1" min="9" max="9"/>
    <col width="3" customWidth="1" min="10" max="10"/>
  </cols>
  <sheetData>
    <row r="2" ht="34" customHeight="1">
      <c r="B2" s="1" t="inlineStr">
        <is>
          <t>Equilibrio de los grupos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 por grupo: tamaño, mezcla de niveles y si respeta las separaciones. Puedes renombrar los grupos.</t>
        </is>
      </c>
    </row>
    <row r="5">
      <c r="B5" s="8" t="inlineStr">
        <is>
          <t>Tolerancia de equilibrio:</t>
        </is>
      </c>
      <c r="C5" s="27" t="n">
        <v>0.4</v>
      </c>
      <c r="D5" s="20" t="inlineStr">
        <is>
          <t>puntos de diferencia con la media de la clase</t>
        </is>
      </c>
    </row>
    <row r="6">
      <c r="B6" s="8" t="inlineStr">
        <is>
          <t>Media de nivel de la clase:</t>
        </is>
      </c>
      <c r="C6" s="28">
        <f>IFERROR(ROUND(AVERAGE(Alumnado!$G$9:$G$48),2),0)</f>
        <v/>
      </c>
    </row>
    <row r="8" ht="40" customHeight="1">
      <c r="B8" s="12" t="inlineStr">
        <is>
          <t>Grupo</t>
        </is>
      </c>
      <c r="C8" s="12" t="inlineStr">
        <is>
          <t>Alumnos</t>
        </is>
      </c>
      <c r="D8" s="12" t="inlineStr">
        <is>
          <t>Altos</t>
        </is>
      </c>
      <c r="E8" s="12" t="inlineStr">
        <is>
          <t>Medios</t>
        </is>
      </c>
      <c r="F8" s="12" t="inlineStr">
        <is>
          <t>Bajos</t>
        </is>
      </c>
      <c r="G8" s="12" t="inlineStr">
        <is>
          <t>Media de nivel</t>
        </is>
      </c>
      <c r="H8" s="12" t="inlineStr">
        <is>
          <t>Separaciones incumplidas</t>
        </is>
      </c>
      <c r="I8" s="12" t="inlineStr">
        <is>
          <t>Estado</t>
        </is>
      </c>
    </row>
    <row r="9">
      <c r="A9" s="29" t="n">
        <v>1</v>
      </c>
      <c r="B9" s="22" t="inlineStr">
        <is>
          <t>Grupo 1</t>
        </is>
      </c>
      <c r="C9" s="19">
        <f>IF($A9&gt;Alumnado!$C$5,"",COUNTIF(Alumnado!$L$9:$L$48,$A9))</f>
        <v/>
      </c>
      <c r="D9" s="14">
        <f>IF(C9="","",COUNTIFS(Alumnado!$L$9:$L$48,$A9,Alumnado!$C$9:$C$48,"Alto"))</f>
        <v/>
      </c>
      <c r="E9" s="14">
        <f>IF(C9="","",C9-D9-F9)</f>
        <v/>
      </c>
      <c r="F9" s="14">
        <f>IF(C9="","",COUNTIFS(Alumnado!$L$9:$L$48,$A9,Alumnado!$C$9:$C$48,"Bajo"))</f>
        <v/>
      </c>
      <c r="G9" s="15">
        <f>IF(C9="","",IF(C9=0,0,ROUND(SUMIF(Alumnado!$L$9:$L$48,$A9,Alumnado!$G$9:$G$48)/C9,2)))</f>
        <v/>
      </c>
      <c r="H9" s="14">
        <f>IF(C9="","",COUNTIFS(Alumnado!$L$9:$L$48,$A9,Alumnado!$M$9:$M$48,"Sí"))</f>
        <v/>
      </c>
      <c r="I9" s="16">
        <f>IF(C9="","",IF(C9=0,"Vacío",IF(H9&gt;0,"Conflicto",IF(ABS(G9-$C$6)&lt;=$C$5,"Equilibrado","Revisar"))))</f>
        <v/>
      </c>
    </row>
    <row r="10">
      <c r="A10" s="29" t="n">
        <v>2</v>
      </c>
      <c r="B10" s="22" t="inlineStr">
        <is>
          <t>Grupo 2</t>
        </is>
      </c>
      <c r="C10" s="19">
        <f>IF($A10&gt;Alumnado!$C$5,"",COUNTIF(Alumnado!$L$9:$L$48,$A10))</f>
        <v/>
      </c>
      <c r="D10" s="14">
        <f>IF(C10="","",COUNTIFS(Alumnado!$L$9:$L$48,$A10,Alumnado!$C$9:$C$48,"Alto"))</f>
        <v/>
      </c>
      <c r="E10" s="14">
        <f>IF(C10="","",C10-D10-F10)</f>
        <v/>
      </c>
      <c r="F10" s="14">
        <f>IF(C10="","",COUNTIFS(Alumnado!$L$9:$L$48,$A10,Alumnado!$C$9:$C$48,"Bajo"))</f>
        <v/>
      </c>
      <c r="G10" s="15">
        <f>IF(C10="","",IF(C10=0,0,ROUND(SUMIF(Alumnado!$L$9:$L$48,$A10,Alumnado!$G$9:$G$48)/C10,2)))</f>
        <v/>
      </c>
      <c r="H10" s="14">
        <f>IF(C10="","",COUNTIFS(Alumnado!$L$9:$L$48,$A10,Alumnado!$M$9:$M$48,"Sí"))</f>
        <v/>
      </c>
      <c r="I10" s="16">
        <f>IF(C10="","",IF(C10=0,"Vacío",IF(H10&gt;0,"Conflicto",IF(ABS(G10-$C$6)&lt;=$C$5,"Equilibrado","Revisar"))))</f>
        <v/>
      </c>
    </row>
    <row r="11">
      <c r="A11" s="29" t="n">
        <v>3</v>
      </c>
      <c r="B11" s="22" t="inlineStr">
        <is>
          <t>Grupo 3</t>
        </is>
      </c>
      <c r="C11" s="19">
        <f>IF($A11&gt;Alumnado!$C$5,"",COUNTIF(Alumnado!$L$9:$L$48,$A11))</f>
        <v/>
      </c>
      <c r="D11" s="14">
        <f>IF(C11="","",COUNTIFS(Alumnado!$L$9:$L$48,$A11,Alumnado!$C$9:$C$48,"Alto"))</f>
        <v/>
      </c>
      <c r="E11" s="14">
        <f>IF(C11="","",C11-D11-F11)</f>
        <v/>
      </c>
      <c r="F11" s="14">
        <f>IF(C11="","",COUNTIFS(Alumnado!$L$9:$L$48,$A11,Alumnado!$C$9:$C$48,"Bajo"))</f>
        <v/>
      </c>
      <c r="G11" s="15">
        <f>IF(C11="","",IF(C11=0,0,ROUND(SUMIF(Alumnado!$L$9:$L$48,$A11,Alumnado!$G$9:$G$48)/C11,2)))</f>
        <v/>
      </c>
      <c r="H11" s="14">
        <f>IF(C11="","",COUNTIFS(Alumnado!$L$9:$L$48,$A11,Alumnado!$M$9:$M$48,"Sí"))</f>
        <v/>
      </c>
      <c r="I11" s="16">
        <f>IF(C11="","",IF(C11=0,"Vacío",IF(H11&gt;0,"Conflicto",IF(ABS(G11-$C$6)&lt;=$C$5,"Equilibrado","Revisar"))))</f>
        <v/>
      </c>
    </row>
    <row r="12">
      <c r="A12" s="29" t="n">
        <v>4</v>
      </c>
      <c r="B12" s="22" t="inlineStr">
        <is>
          <t>Grupo 4</t>
        </is>
      </c>
      <c r="C12" s="19">
        <f>IF($A12&gt;Alumnado!$C$5,"",COUNTIF(Alumnado!$L$9:$L$48,$A12))</f>
        <v/>
      </c>
      <c r="D12" s="14">
        <f>IF(C12="","",COUNTIFS(Alumnado!$L$9:$L$48,$A12,Alumnado!$C$9:$C$48,"Alto"))</f>
        <v/>
      </c>
      <c r="E12" s="14">
        <f>IF(C12="","",C12-D12-F12)</f>
        <v/>
      </c>
      <c r="F12" s="14">
        <f>IF(C12="","",COUNTIFS(Alumnado!$L$9:$L$48,$A12,Alumnado!$C$9:$C$48,"Bajo"))</f>
        <v/>
      </c>
      <c r="G12" s="15">
        <f>IF(C12="","",IF(C12=0,0,ROUND(SUMIF(Alumnado!$L$9:$L$48,$A12,Alumnado!$G$9:$G$48)/C12,2)))</f>
        <v/>
      </c>
      <c r="H12" s="14">
        <f>IF(C12="","",COUNTIFS(Alumnado!$L$9:$L$48,$A12,Alumnado!$M$9:$M$48,"Sí"))</f>
        <v/>
      </c>
      <c r="I12" s="16">
        <f>IF(C12="","",IF(C12=0,"Vacío",IF(H12&gt;0,"Conflicto",IF(ABS(G12-$C$6)&lt;=$C$5,"Equilibrado","Revisar"))))</f>
        <v/>
      </c>
    </row>
    <row r="13">
      <c r="A13" s="29" t="n">
        <v>5</v>
      </c>
      <c r="B13" s="22" t="inlineStr">
        <is>
          <t>Grupo 5</t>
        </is>
      </c>
      <c r="C13" s="19">
        <f>IF($A13&gt;Alumnado!$C$5,"",COUNTIF(Alumnado!$L$9:$L$48,$A13))</f>
        <v/>
      </c>
      <c r="D13" s="14">
        <f>IF(C13="","",COUNTIFS(Alumnado!$L$9:$L$48,$A13,Alumnado!$C$9:$C$48,"Alto"))</f>
        <v/>
      </c>
      <c r="E13" s="14">
        <f>IF(C13="","",C13-D13-F13)</f>
        <v/>
      </c>
      <c r="F13" s="14">
        <f>IF(C13="","",COUNTIFS(Alumnado!$L$9:$L$48,$A13,Alumnado!$C$9:$C$48,"Bajo"))</f>
        <v/>
      </c>
      <c r="G13" s="15">
        <f>IF(C13="","",IF(C13=0,0,ROUND(SUMIF(Alumnado!$L$9:$L$48,$A13,Alumnado!$G$9:$G$48)/C13,2)))</f>
        <v/>
      </c>
      <c r="H13" s="14">
        <f>IF(C13="","",COUNTIFS(Alumnado!$L$9:$L$48,$A13,Alumnado!$M$9:$M$48,"Sí"))</f>
        <v/>
      </c>
      <c r="I13" s="16">
        <f>IF(C13="","",IF(C13=0,"Vacío",IF(H13&gt;0,"Conflicto",IF(ABS(G13-$C$6)&lt;=$C$5,"Equilibrado","Revisar"))))</f>
        <v/>
      </c>
    </row>
    <row r="14">
      <c r="A14" s="29" t="n">
        <v>6</v>
      </c>
      <c r="B14" s="22" t="inlineStr">
        <is>
          <t>Grupo 6</t>
        </is>
      </c>
      <c r="C14" s="19">
        <f>IF($A14&gt;Alumnado!$C$5,"",COUNTIF(Alumnado!$L$9:$L$48,$A14))</f>
        <v/>
      </c>
      <c r="D14" s="14">
        <f>IF(C14="","",COUNTIFS(Alumnado!$L$9:$L$48,$A14,Alumnado!$C$9:$C$48,"Alto"))</f>
        <v/>
      </c>
      <c r="E14" s="14">
        <f>IF(C14="","",C14-D14-F14)</f>
        <v/>
      </c>
      <c r="F14" s="14">
        <f>IF(C14="","",COUNTIFS(Alumnado!$L$9:$L$48,$A14,Alumnado!$C$9:$C$48,"Bajo"))</f>
        <v/>
      </c>
      <c r="G14" s="15">
        <f>IF(C14="","",IF(C14=0,0,ROUND(SUMIF(Alumnado!$L$9:$L$48,$A14,Alumnado!$G$9:$G$48)/C14,2)))</f>
        <v/>
      </c>
      <c r="H14" s="14">
        <f>IF(C14="","",COUNTIFS(Alumnado!$L$9:$L$48,$A14,Alumnado!$M$9:$M$48,"Sí"))</f>
        <v/>
      </c>
      <c r="I14" s="16">
        <f>IF(C14="","",IF(C14=0,"Vacío",IF(H14&gt;0,"Conflicto",IF(ABS(G14-$C$6)&lt;=$C$5,"Equilibrado","Revisar"))))</f>
        <v/>
      </c>
    </row>
    <row r="15">
      <c r="A15" s="29" t="n">
        <v>7</v>
      </c>
      <c r="B15" s="22" t="inlineStr">
        <is>
          <t>Grupo 7</t>
        </is>
      </c>
      <c r="C15" s="19">
        <f>IF($A15&gt;Alumnado!$C$5,"",COUNTIF(Alumnado!$L$9:$L$48,$A15))</f>
        <v/>
      </c>
      <c r="D15" s="14">
        <f>IF(C15="","",COUNTIFS(Alumnado!$L$9:$L$48,$A15,Alumnado!$C$9:$C$48,"Alto"))</f>
        <v/>
      </c>
      <c r="E15" s="14">
        <f>IF(C15="","",C15-D15-F15)</f>
        <v/>
      </c>
      <c r="F15" s="14">
        <f>IF(C15="","",COUNTIFS(Alumnado!$L$9:$L$48,$A15,Alumnado!$C$9:$C$48,"Bajo"))</f>
        <v/>
      </c>
      <c r="G15" s="15">
        <f>IF(C15="","",IF(C15=0,0,ROUND(SUMIF(Alumnado!$L$9:$L$48,$A15,Alumnado!$G$9:$G$48)/C15,2)))</f>
        <v/>
      </c>
      <c r="H15" s="14">
        <f>IF(C15="","",COUNTIFS(Alumnado!$L$9:$L$48,$A15,Alumnado!$M$9:$M$48,"Sí"))</f>
        <v/>
      </c>
      <c r="I15" s="16">
        <f>IF(C15="","",IF(C15=0,"Vacío",IF(H15&gt;0,"Conflicto",IF(ABS(G15-$C$6)&lt;=$C$5,"Equilibrado","Revisar"))))</f>
        <v/>
      </c>
    </row>
    <row r="16">
      <c r="A16" s="29" t="n">
        <v>8</v>
      </c>
      <c r="B16" s="22" t="inlineStr">
        <is>
          <t>Grupo 8</t>
        </is>
      </c>
      <c r="C16" s="19">
        <f>IF($A16&gt;Alumnado!$C$5,"",COUNTIF(Alumnado!$L$9:$L$48,$A16))</f>
        <v/>
      </c>
      <c r="D16" s="14">
        <f>IF(C16="","",COUNTIFS(Alumnado!$L$9:$L$48,$A16,Alumnado!$C$9:$C$48,"Alto"))</f>
        <v/>
      </c>
      <c r="E16" s="14">
        <f>IF(C16="","",C16-D16-F16)</f>
        <v/>
      </c>
      <c r="F16" s="14">
        <f>IF(C16="","",COUNTIFS(Alumnado!$L$9:$L$48,$A16,Alumnado!$C$9:$C$48,"Bajo"))</f>
        <v/>
      </c>
      <c r="G16" s="15">
        <f>IF(C16="","",IF(C16=0,0,ROUND(SUMIF(Alumnado!$L$9:$L$48,$A16,Alumnado!$G$9:$G$48)/C16,2)))</f>
        <v/>
      </c>
      <c r="H16" s="14">
        <f>IF(C16="","",COUNTIFS(Alumnado!$L$9:$L$48,$A16,Alumnado!$M$9:$M$48,"Sí"))</f>
        <v/>
      </c>
      <c r="I16" s="16">
        <f>IF(C16="","",IF(C16=0,"Vacío",IF(H16&gt;0,"Conflicto",IF(ABS(G16-$C$6)&lt;=$C$5,"Equilibrado","Revisar"))))</f>
        <v/>
      </c>
    </row>
    <row r="17">
      <c r="B17" s="8" t="inlineStr">
        <is>
          <t>Total</t>
        </is>
      </c>
      <c r="C17" s="30">
        <f>SUM(C9:C16)</f>
        <v/>
      </c>
      <c r="D17" s="30">
        <f>SUM(D9:D16)</f>
        <v/>
      </c>
      <c r="E17" s="30">
        <f>SUM(E9:E16)</f>
        <v/>
      </c>
      <c r="F17" s="30">
        <f>SUM(F9:F16)</f>
        <v/>
      </c>
      <c r="G17" s="31">
        <f>C6</f>
        <v/>
      </c>
      <c r="H17" s="30">
        <f>SUM(H9:H16)</f>
        <v/>
      </c>
    </row>
    <row r="19">
      <c r="B19" s="8" t="inlineStr">
        <is>
          <t>Alumnos con grupo fuera de rango:</t>
        </is>
      </c>
      <c r="E19" s="19">
        <f>COUNTIF(Alumnado!$L$9:$L$48,"&gt;"&amp;Alumnado!$C$5)</f>
        <v/>
      </c>
    </row>
    <row r="20">
      <c r="B20" s="20" t="inlineStr">
        <is>
          <t>Puntos por nivel: Alto = 3, Medio = 2, Bajo = 1 (alumnos sin nivel cuentan como Medio).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I9:I16">
    <cfRule type="cellIs" priority="1" operator="equal" dxfId="0">
      <formula>"Equilibrado"</formula>
    </cfRule>
    <cfRule type="cellIs" priority="2" operator="equal" dxfId="1">
      <formula>"Revisar"</formula>
    </cfRule>
    <cfRule type="cellIs" priority="3" operator="equal" dxfId="2">
      <formula>"Conflicto"</formula>
    </cfRule>
  </conditionalFormatting>
  <conditionalFormatting sqref="G9:G16">
    <cfRule type="dataBar" priority="4">
      <dataBar>
        <cfvo type="num" val="0"/>
        <cfvo type="max"/>
        <color rgb="0010B981"/>
      </dataBar>
    </cfRule>
  </conditionalFormatting>
  <dataValidations count="1">
    <dataValidation sqref="C5" showDropDown="0" showInputMessage="0" showErrorMessage="1" allowBlank="0" errorTitle="Tolerancia" error="Escribe un valor entre 0 y 2." type="decimal" operator="between">
      <formula1>0</formula1>
      <formula2>2</formula2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A2:I30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3" customWidth="1" min="10" max="10"/>
  </cols>
  <sheetData>
    <row r="2" ht="34" customHeight="1">
      <c r="B2" s="1" t="inlineStr">
        <is>
          <t>Listado por grupo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Composición final de cada grupo lista para imprimir. (A) = nivel alto, (M) = medio, (B) = bajo.</t>
        </is>
      </c>
    </row>
    <row r="5">
      <c r="B5" s="8" t="inlineStr">
        <is>
          <t>Alumnos:</t>
        </is>
      </c>
      <c r="C5" s="19">
        <f>Alumnado!F5</f>
        <v/>
      </c>
      <c r="D5" s="18" t="inlineStr">
        <is>
          <t>Grupos:</t>
        </is>
      </c>
      <c r="E5" s="19">
        <f>Alumnado!$C$5</f>
        <v/>
      </c>
    </row>
    <row r="7">
      <c r="A7" s="29" t="inlineStr">
        <is>
          <t>Nº</t>
        </is>
      </c>
      <c r="B7" s="29" t="n">
        <v>1</v>
      </c>
      <c r="C7" s="29" t="n">
        <v>2</v>
      </c>
      <c r="D7" s="29" t="n">
        <v>3</v>
      </c>
      <c r="E7" s="29" t="n">
        <v>4</v>
      </c>
      <c r="F7" s="29" t="n">
        <v>5</v>
      </c>
      <c r="G7" s="29" t="n">
        <v>6</v>
      </c>
      <c r="H7" s="29" t="n">
        <v>7</v>
      </c>
      <c r="I7" s="29" t="n">
        <v>8</v>
      </c>
    </row>
    <row r="8" ht="28" customHeight="1">
      <c r="B8" s="12">
        <f>IF(B$7&gt;Alumnado!$C$5,"",INDEX(Grupos!$B$9:$B$16,B$7))</f>
        <v/>
      </c>
      <c r="C8" s="12">
        <f>IF(C$7&gt;Alumnado!$C$5,"",INDEX(Grupos!$B$9:$B$16,C$7))</f>
        <v/>
      </c>
      <c r="D8" s="12">
        <f>IF(D$7&gt;Alumnado!$C$5,"",INDEX(Grupos!$B$9:$B$16,D$7))</f>
        <v/>
      </c>
      <c r="E8" s="12">
        <f>IF(E$7&gt;Alumnado!$C$5,"",INDEX(Grupos!$B$9:$B$16,E$7))</f>
        <v/>
      </c>
      <c r="F8" s="12">
        <f>IF(F$7&gt;Alumnado!$C$5,"",INDEX(Grupos!$B$9:$B$16,F$7))</f>
        <v/>
      </c>
      <c r="G8" s="12">
        <f>IF(G$7&gt;Alumnado!$C$5,"",INDEX(Grupos!$B$9:$B$16,G$7))</f>
        <v/>
      </c>
      <c r="H8" s="12">
        <f>IF(H$7&gt;Alumnado!$C$5,"",INDEX(Grupos!$B$9:$B$16,H$7))</f>
        <v/>
      </c>
      <c r="I8" s="12">
        <f>IF(I$7&gt;Alumnado!$C$5,"",INDEX(Grupos!$B$9:$B$16,I$7))</f>
        <v/>
      </c>
    </row>
    <row r="9">
      <c r="A9" s="29" t="n">
        <v>1</v>
      </c>
      <c r="B9" s="13">
        <f>IFERROR(INDEX(Alumnado!$P$9:$P$48,MATCH(B$7*100+$A9,Alumnado!$O$9:$O$48,0)),"")</f>
        <v/>
      </c>
      <c r="C9" s="13">
        <f>IFERROR(INDEX(Alumnado!$P$9:$P$48,MATCH(C$7*100+$A9,Alumnado!$O$9:$O$48,0)),"")</f>
        <v/>
      </c>
      <c r="D9" s="13">
        <f>IFERROR(INDEX(Alumnado!$P$9:$P$48,MATCH(D$7*100+$A9,Alumnado!$O$9:$O$48,0)),"")</f>
        <v/>
      </c>
      <c r="E9" s="13">
        <f>IFERROR(INDEX(Alumnado!$P$9:$P$48,MATCH(E$7*100+$A9,Alumnado!$O$9:$O$48,0)),"")</f>
        <v/>
      </c>
      <c r="F9" s="13">
        <f>IFERROR(INDEX(Alumnado!$P$9:$P$48,MATCH(F$7*100+$A9,Alumnado!$O$9:$O$48,0)),"")</f>
        <v/>
      </c>
      <c r="G9" s="13">
        <f>IFERROR(INDEX(Alumnado!$P$9:$P$48,MATCH(G$7*100+$A9,Alumnado!$O$9:$O$48,0)),"")</f>
        <v/>
      </c>
      <c r="H9" s="13">
        <f>IFERROR(INDEX(Alumnado!$P$9:$P$48,MATCH(H$7*100+$A9,Alumnado!$O$9:$O$48,0)),"")</f>
        <v/>
      </c>
      <c r="I9" s="13">
        <f>IFERROR(INDEX(Alumnado!$P$9:$P$48,MATCH(I$7*100+$A9,Alumnado!$O$9:$O$48,0)),"")</f>
        <v/>
      </c>
    </row>
    <row r="10">
      <c r="A10" s="29" t="n">
        <v>2</v>
      </c>
      <c r="B10" s="13">
        <f>IFERROR(INDEX(Alumnado!$P$9:$P$48,MATCH(B$7*100+$A10,Alumnado!$O$9:$O$48,0)),"")</f>
        <v/>
      </c>
      <c r="C10" s="13">
        <f>IFERROR(INDEX(Alumnado!$P$9:$P$48,MATCH(C$7*100+$A10,Alumnado!$O$9:$O$48,0)),"")</f>
        <v/>
      </c>
      <c r="D10" s="13">
        <f>IFERROR(INDEX(Alumnado!$P$9:$P$48,MATCH(D$7*100+$A10,Alumnado!$O$9:$O$48,0)),"")</f>
        <v/>
      </c>
      <c r="E10" s="13">
        <f>IFERROR(INDEX(Alumnado!$P$9:$P$48,MATCH(E$7*100+$A10,Alumnado!$O$9:$O$48,0)),"")</f>
        <v/>
      </c>
      <c r="F10" s="13">
        <f>IFERROR(INDEX(Alumnado!$P$9:$P$48,MATCH(F$7*100+$A10,Alumnado!$O$9:$O$48,0)),"")</f>
        <v/>
      </c>
      <c r="G10" s="13">
        <f>IFERROR(INDEX(Alumnado!$P$9:$P$48,MATCH(G$7*100+$A10,Alumnado!$O$9:$O$48,0)),"")</f>
        <v/>
      </c>
      <c r="H10" s="13">
        <f>IFERROR(INDEX(Alumnado!$P$9:$P$48,MATCH(H$7*100+$A10,Alumnado!$O$9:$O$48,0)),"")</f>
        <v/>
      </c>
      <c r="I10" s="13">
        <f>IFERROR(INDEX(Alumnado!$P$9:$P$48,MATCH(I$7*100+$A10,Alumnado!$O$9:$O$48,0)),"")</f>
        <v/>
      </c>
    </row>
    <row r="11">
      <c r="A11" s="29" t="n">
        <v>3</v>
      </c>
      <c r="B11" s="13">
        <f>IFERROR(INDEX(Alumnado!$P$9:$P$48,MATCH(B$7*100+$A11,Alumnado!$O$9:$O$48,0)),"")</f>
        <v/>
      </c>
      <c r="C11" s="13">
        <f>IFERROR(INDEX(Alumnado!$P$9:$P$48,MATCH(C$7*100+$A11,Alumnado!$O$9:$O$48,0)),"")</f>
        <v/>
      </c>
      <c r="D11" s="13">
        <f>IFERROR(INDEX(Alumnado!$P$9:$P$48,MATCH(D$7*100+$A11,Alumnado!$O$9:$O$48,0)),"")</f>
        <v/>
      </c>
      <c r="E11" s="13">
        <f>IFERROR(INDEX(Alumnado!$P$9:$P$48,MATCH(E$7*100+$A11,Alumnado!$O$9:$O$48,0)),"")</f>
        <v/>
      </c>
      <c r="F11" s="13">
        <f>IFERROR(INDEX(Alumnado!$P$9:$P$48,MATCH(F$7*100+$A11,Alumnado!$O$9:$O$48,0)),"")</f>
        <v/>
      </c>
      <c r="G11" s="13">
        <f>IFERROR(INDEX(Alumnado!$P$9:$P$48,MATCH(G$7*100+$A11,Alumnado!$O$9:$O$48,0)),"")</f>
        <v/>
      </c>
      <c r="H11" s="13">
        <f>IFERROR(INDEX(Alumnado!$P$9:$P$48,MATCH(H$7*100+$A11,Alumnado!$O$9:$O$48,0)),"")</f>
        <v/>
      </c>
      <c r="I11" s="13">
        <f>IFERROR(INDEX(Alumnado!$P$9:$P$48,MATCH(I$7*100+$A11,Alumnado!$O$9:$O$48,0)),"")</f>
        <v/>
      </c>
    </row>
    <row r="12">
      <c r="A12" s="29" t="n">
        <v>4</v>
      </c>
      <c r="B12" s="13">
        <f>IFERROR(INDEX(Alumnado!$P$9:$P$48,MATCH(B$7*100+$A12,Alumnado!$O$9:$O$48,0)),"")</f>
        <v/>
      </c>
      <c r="C12" s="13">
        <f>IFERROR(INDEX(Alumnado!$P$9:$P$48,MATCH(C$7*100+$A12,Alumnado!$O$9:$O$48,0)),"")</f>
        <v/>
      </c>
      <c r="D12" s="13">
        <f>IFERROR(INDEX(Alumnado!$P$9:$P$48,MATCH(D$7*100+$A12,Alumnado!$O$9:$O$48,0)),"")</f>
        <v/>
      </c>
      <c r="E12" s="13">
        <f>IFERROR(INDEX(Alumnado!$P$9:$P$48,MATCH(E$7*100+$A12,Alumnado!$O$9:$O$48,0)),"")</f>
        <v/>
      </c>
      <c r="F12" s="13">
        <f>IFERROR(INDEX(Alumnado!$P$9:$P$48,MATCH(F$7*100+$A12,Alumnado!$O$9:$O$48,0)),"")</f>
        <v/>
      </c>
      <c r="G12" s="13">
        <f>IFERROR(INDEX(Alumnado!$P$9:$P$48,MATCH(G$7*100+$A12,Alumnado!$O$9:$O$48,0)),"")</f>
        <v/>
      </c>
      <c r="H12" s="13">
        <f>IFERROR(INDEX(Alumnado!$P$9:$P$48,MATCH(H$7*100+$A12,Alumnado!$O$9:$O$48,0)),"")</f>
        <v/>
      </c>
      <c r="I12" s="13">
        <f>IFERROR(INDEX(Alumnado!$P$9:$P$48,MATCH(I$7*100+$A12,Alumnado!$O$9:$O$48,0)),"")</f>
        <v/>
      </c>
    </row>
    <row r="13">
      <c r="A13" s="29" t="n">
        <v>5</v>
      </c>
      <c r="B13" s="13">
        <f>IFERROR(INDEX(Alumnado!$P$9:$P$48,MATCH(B$7*100+$A13,Alumnado!$O$9:$O$48,0)),"")</f>
        <v/>
      </c>
      <c r="C13" s="13">
        <f>IFERROR(INDEX(Alumnado!$P$9:$P$48,MATCH(C$7*100+$A13,Alumnado!$O$9:$O$48,0)),"")</f>
        <v/>
      </c>
      <c r="D13" s="13">
        <f>IFERROR(INDEX(Alumnado!$P$9:$P$48,MATCH(D$7*100+$A13,Alumnado!$O$9:$O$48,0)),"")</f>
        <v/>
      </c>
      <c r="E13" s="13">
        <f>IFERROR(INDEX(Alumnado!$P$9:$P$48,MATCH(E$7*100+$A13,Alumnado!$O$9:$O$48,0)),"")</f>
        <v/>
      </c>
      <c r="F13" s="13">
        <f>IFERROR(INDEX(Alumnado!$P$9:$P$48,MATCH(F$7*100+$A13,Alumnado!$O$9:$O$48,0)),"")</f>
        <v/>
      </c>
      <c r="G13" s="13">
        <f>IFERROR(INDEX(Alumnado!$P$9:$P$48,MATCH(G$7*100+$A13,Alumnado!$O$9:$O$48,0)),"")</f>
        <v/>
      </c>
      <c r="H13" s="13">
        <f>IFERROR(INDEX(Alumnado!$P$9:$P$48,MATCH(H$7*100+$A13,Alumnado!$O$9:$O$48,0)),"")</f>
        <v/>
      </c>
      <c r="I13" s="13">
        <f>IFERROR(INDEX(Alumnado!$P$9:$P$48,MATCH(I$7*100+$A13,Alumnado!$O$9:$O$48,0)),"")</f>
        <v/>
      </c>
    </row>
    <row r="14">
      <c r="A14" s="29" t="n">
        <v>6</v>
      </c>
      <c r="B14" s="13">
        <f>IFERROR(INDEX(Alumnado!$P$9:$P$48,MATCH(B$7*100+$A14,Alumnado!$O$9:$O$48,0)),"")</f>
        <v/>
      </c>
      <c r="C14" s="13">
        <f>IFERROR(INDEX(Alumnado!$P$9:$P$48,MATCH(C$7*100+$A14,Alumnado!$O$9:$O$48,0)),"")</f>
        <v/>
      </c>
      <c r="D14" s="13">
        <f>IFERROR(INDEX(Alumnado!$P$9:$P$48,MATCH(D$7*100+$A14,Alumnado!$O$9:$O$48,0)),"")</f>
        <v/>
      </c>
      <c r="E14" s="13">
        <f>IFERROR(INDEX(Alumnado!$P$9:$P$48,MATCH(E$7*100+$A14,Alumnado!$O$9:$O$48,0)),"")</f>
        <v/>
      </c>
      <c r="F14" s="13">
        <f>IFERROR(INDEX(Alumnado!$P$9:$P$48,MATCH(F$7*100+$A14,Alumnado!$O$9:$O$48,0)),"")</f>
        <v/>
      </c>
      <c r="G14" s="13">
        <f>IFERROR(INDEX(Alumnado!$P$9:$P$48,MATCH(G$7*100+$A14,Alumnado!$O$9:$O$48,0)),"")</f>
        <v/>
      </c>
      <c r="H14" s="13">
        <f>IFERROR(INDEX(Alumnado!$P$9:$P$48,MATCH(H$7*100+$A14,Alumnado!$O$9:$O$48,0)),"")</f>
        <v/>
      </c>
      <c r="I14" s="13">
        <f>IFERROR(INDEX(Alumnado!$P$9:$P$48,MATCH(I$7*100+$A14,Alumnado!$O$9:$O$48,0)),"")</f>
        <v/>
      </c>
    </row>
    <row r="15">
      <c r="A15" s="29" t="n">
        <v>7</v>
      </c>
      <c r="B15" s="13">
        <f>IFERROR(INDEX(Alumnado!$P$9:$P$48,MATCH(B$7*100+$A15,Alumnado!$O$9:$O$48,0)),"")</f>
        <v/>
      </c>
      <c r="C15" s="13">
        <f>IFERROR(INDEX(Alumnado!$P$9:$P$48,MATCH(C$7*100+$A15,Alumnado!$O$9:$O$48,0)),"")</f>
        <v/>
      </c>
      <c r="D15" s="13">
        <f>IFERROR(INDEX(Alumnado!$P$9:$P$48,MATCH(D$7*100+$A15,Alumnado!$O$9:$O$48,0)),"")</f>
        <v/>
      </c>
      <c r="E15" s="13">
        <f>IFERROR(INDEX(Alumnado!$P$9:$P$48,MATCH(E$7*100+$A15,Alumnado!$O$9:$O$48,0)),"")</f>
        <v/>
      </c>
      <c r="F15" s="13">
        <f>IFERROR(INDEX(Alumnado!$P$9:$P$48,MATCH(F$7*100+$A15,Alumnado!$O$9:$O$48,0)),"")</f>
        <v/>
      </c>
      <c r="G15" s="13">
        <f>IFERROR(INDEX(Alumnado!$P$9:$P$48,MATCH(G$7*100+$A15,Alumnado!$O$9:$O$48,0)),"")</f>
        <v/>
      </c>
      <c r="H15" s="13">
        <f>IFERROR(INDEX(Alumnado!$P$9:$P$48,MATCH(H$7*100+$A15,Alumnado!$O$9:$O$48,0)),"")</f>
        <v/>
      </c>
      <c r="I15" s="13">
        <f>IFERROR(INDEX(Alumnado!$P$9:$P$48,MATCH(I$7*100+$A15,Alumnado!$O$9:$O$48,0)),"")</f>
        <v/>
      </c>
    </row>
    <row r="16">
      <c r="A16" s="29" t="n">
        <v>8</v>
      </c>
      <c r="B16" s="13">
        <f>IFERROR(INDEX(Alumnado!$P$9:$P$48,MATCH(B$7*100+$A16,Alumnado!$O$9:$O$48,0)),"")</f>
        <v/>
      </c>
      <c r="C16" s="13">
        <f>IFERROR(INDEX(Alumnado!$P$9:$P$48,MATCH(C$7*100+$A16,Alumnado!$O$9:$O$48,0)),"")</f>
        <v/>
      </c>
      <c r="D16" s="13">
        <f>IFERROR(INDEX(Alumnado!$P$9:$P$48,MATCH(D$7*100+$A16,Alumnado!$O$9:$O$48,0)),"")</f>
        <v/>
      </c>
      <c r="E16" s="13">
        <f>IFERROR(INDEX(Alumnado!$P$9:$P$48,MATCH(E$7*100+$A16,Alumnado!$O$9:$O$48,0)),"")</f>
        <v/>
      </c>
      <c r="F16" s="13">
        <f>IFERROR(INDEX(Alumnado!$P$9:$P$48,MATCH(F$7*100+$A16,Alumnado!$O$9:$O$48,0)),"")</f>
        <v/>
      </c>
      <c r="G16" s="13">
        <f>IFERROR(INDEX(Alumnado!$P$9:$P$48,MATCH(G$7*100+$A16,Alumnado!$O$9:$O$48,0)),"")</f>
        <v/>
      </c>
      <c r="H16" s="13">
        <f>IFERROR(INDEX(Alumnado!$P$9:$P$48,MATCH(H$7*100+$A16,Alumnado!$O$9:$O$48,0)),"")</f>
        <v/>
      </c>
      <c r="I16" s="13">
        <f>IFERROR(INDEX(Alumnado!$P$9:$P$48,MATCH(I$7*100+$A16,Alumnado!$O$9:$O$48,0)),"")</f>
        <v/>
      </c>
    </row>
    <row r="17">
      <c r="A17" s="29" t="n">
        <v>9</v>
      </c>
      <c r="B17" s="13">
        <f>IFERROR(INDEX(Alumnado!$P$9:$P$48,MATCH(B$7*100+$A17,Alumnado!$O$9:$O$48,0)),"")</f>
        <v/>
      </c>
      <c r="C17" s="13">
        <f>IFERROR(INDEX(Alumnado!$P$9:$P$48,MATCH(C$7*100+$A17,Alumnado!$O$9:$O$48,0)),"")</f>
        <v/>
      </c>
      <c r="D17" s="13">
        <f>IFERROR(INDEX(Alumnado!$P$9:$P$48,MATCH(D$7*100+$A17,Alumnado!$O$9:$O$48,0)),"")</f>
        <v/>
      </c>
      <c r="E17" s="13">
        <f>IFERROR(INDEX(Alumnado!$P$9:$P$48,MATCH(E$7*100+$A17,Alumnado!$O$9:$O$48,0)),"")</f>
        <v/>
      </c>
      <c r="F17" s="13">
        <f>IFERROR(INDEX(Alumnado!$P$9:$P$48,MATCH(F$7*100+$A17,Alumnado!$O$9:$O$48,0)),"")</f>
        <v/>
      </c>
      <c r="G17" s="13">
        <f>IFERROR(INDEX(Alumnado!$P$9:$P$48,MATCH(G$7*100+$A17,Alumnado!$O$9:$O$48,0)),"")</f>
        <v/>
      </c>
      <c r="H17" s="13">
        <f>IFERROR(INDEX(Alumnado!$P$9:$P$48,MATCH(H$7*100+$A17,Alumnado!$O$9:$O$48,0)),"")</f>
        <v/>
      </c>
      <c r="I17" s="13">
        <f>IFERROR(INDEX(Alumnado!$P$9:$P$48,MATCH(I$7*100+$A17,Alumnado!$O$9:$O$48,0)),"")</f>
        <v/>
      </c>
    </row>
    <row r="18">
      <c r="A18" s="29" t="n">
        <v>10</v>
      </c>
      <c r="B18" s="13">
        <f>IFERROR(INDEX(Alumnado!$P$9:$P$48,MATCH(B$7*100+$A18,Alumnado!$O$9:$O$48,0)),"")</f>
        <v/>
      </c>
      <c r="C18" s="13">
        <f>IFERROR(INDEX(Alumnado!$P$9:$P$48,MATCH(C$7*100+$A18,Alumnado!$O$9:$O$48,0)),"")</f>
        <v/>
      </c>
      <c r="D18" s="13">
        <f>IFERROR(INDEX(Alumnado!$P$9:$P$48,MATCH(D$7*100+$A18,Alumnado!$O$9:$O$48,0)),"")</f>
        <v/>
      </c>
      <c r="E18" s="13">
        <f>IFERROR(INDEX(Alumnado!$P$9:$P$48,MATCH(E$7*100+$A18,Alumnado!$O$9:$O$48,0)),"")</f>
        <v/>
      </c>
      <c r="F18" s="13">
        <f>IFERROR(INDEX(Alumnado!$P$9:$P$48,MATCH(F$7*100+$A18,Alumnado!$O$9:$O$48,0)),"")</f>
        <v/>
      </c>
      <c r="G18" s="13">
        <f>IFERROR(INDEX(Alumnado!$P$9:$P$48,MATCH(G$7*100+$A18,Alumnado!$O$9:$O$48,0)),"")</f>
        <v/>
      </c>
      <c r="H18" s="13">
        <f>IFERROR(INDEX(Alumnado!$P$9:$P$48,MATCH(H$7*100+$A18,Alumnado!$O$9:$O$48,0)),"")</f>
        <v/>
      </c>
      <c r="I18" s="13">
        <f>IFERROR(INDEX(Alumnado!$P$9:$P$48,MATCH(I$7*100+$A18,Alumnado!$O$9:$O$48,0)),"")</f>
        <v/>
      </c>
    </row>
    <row r="19">
      <c r="A19" s="29" t="n">
        <v>11</v>
      </c>
      <c r="B19" s="13">
        <f>IFERROR(INDEX(Alumnado!$P$9:$P$48,MATCH(B$7*100+$A19,Alumnado!$O$9:$O$48,0)),"")</f>
        <v/>
      </c>
      <c r="C19" s="13">
        <f>IFERROR(INDEX(Alumnado!$P$9:$P$48,MATCH(C$7*100+$A19,Alumnado!$O$9:$O$48,0)),"")</f>
        <v/>
      </c>
      <c r="D19" s="13">
        <f>IFERROR(INDEX(Alumnado!$P$9:$P$48,MATCH(D$7*100+$A19,Alumnado!$O$9:$O$48,0)),"")</f>
        <v/>
      </c>
      <c r="E19" s="13">
        <f>IFERROR(INDEX(Alumnado!$P$9:$P$48,MATCH(E$7*100+$A19,Alumnado!$O$9:$O$48,0)),"")</f>
        <v/>
      </c>
      <c r="F19" s="13">
        <f>IFERROR(INDEX(Alumnado!$P$9:$P$48,MATCH(F$7*100+$A19,Alumnado!$O$9:$O$48,0)),"")</f>
        <v/>
      </c>
      <c r="G19" s="13">
        <f>IFERROR(INDEX(Alumnado!$P$9:$P$48,MATCH(G$7*100+$A19,Alumnado!$O$9:$O$48,0)),"")</f>
        <v/>
      </c>
      <c r="H19" s="13">
        <f>IFERROR(INDEX(Alumnado!$P$9:$P$48,MATCH(H$7*100+$A19,Alumnado!$O$9:$O$48,0)),"")</f>
        <v/>
      </c>
      <c r="I19" s="13">
        <f>IFERROR(INDEX(Alumnado!$P$9:$P$48,MATCH(I$7*100+$A19,Alumnado!$O$9:$O$48,0)),"")</f>
        <v/>
      </c>
    </row>
    <row r="20">
      <c r="A20" s="29" t="n">
        <v>12</v>
      </c>
      <c r="B20" s="13">
        <f>IFERROR(INDEX(Alumnado!$P$9:$P$48,MATCH(B$7*100+$A20,Alumnado!$O$9:$O$48,0)),"")</f>
        <v/>
      </c>
      <c r="C20" s="13">
        <f>IFERROR(INDEX(Alumnado!$P$9:$P$48,MATCH(C$7*100+$A20,Alumnado!$O$9:$O$48,0)),"")</f>
        <v/>
      </c>
      <c r="D20" s="13">
        <f>IFERROR(INDEX(Alumnado!$P$9:$P$48,MATCH(D$7*100+$A20,Alumnado!$O$9:$O$48,0)),"")</f>
        <v/>
      </c>
      <c r="E20" s="13">
        <f>IFERROR(INDEX(Alumnado!$P$9:$P$48,MATCH(E$7*100+$A20,Alumnado!$O$9:$O$48,0)),"")</f>
        <v/>
      </c>
      <c r="F20" s="13">
        <f>IFERROR(INDEX(Alumnado!$P$9:$P$48,MATCH(F$7*100+$A20,Alumnado!$O$9:$O$48,0)),"")</f>
        <v/>
      </c>
      <c r="G20" s="13">
        <f>IFERROR(INDEX(Alumnado!$P$9:$P$48,MATCH(G$7*100+$A20,Alumnado!$O$9:$O$48,0)),"")</f>
        <v/>
      </c>
      <c r="H20" s="13">
        <f>IFERROR(INDEX(Alumnado!$P$9:$P$48,MATCH(H$7*100+$A20,Alumnado!$O$9:$O$48,0)),"")</f>
        <v/>
      </c>
      <c r="I20" s="13">
        <f>IFERROR(INDEX(Alumnado!$P$9:$P$48,MATCH(I$7*100+$A20,Alumnado!$O$9:$O$48,0)),"")</f>
        <v/>
      </c>
    </row>
    <row r="21">
      <c r="A21" s="29" t="n">
        <v>13</v>
      </c>
      <c r="B21" s="13">
        <f>IFERROR(INDEX(Alumnado!$P$9:$P$48,MATCH(B$7*100+$A21,Alumnado!$O$9:$O$48,0)),"")</f>
        <v/>
      </c>
      <c r="C21" s="13">
        <f>IFERROR(INDEX(Alumnado!$P$9:$P$48,MATCH(C$7*100+$A21,Alumnado!$O$9:$O$48,0)),"")</f>
        <v/>
      </c>
      <c r="D21" s="13">
        <f>IFERROR(INDEX(Alumnado!$P$9:$P$48,MATCH(D$7*100+$A21,Alumnado!$O$9:$O$48,0)),"")</f>
        <v/>
      </c>
      <c r="E21" s="13">
        <f>IFERROR(INDEX(Alumnado!$P$9:$P$48,MATCH(E$7*100+$A21,Alumnado!$O$9:$O$48,0)),"")</f>
        <v/>
      </c>
      <c r="F21" s="13">
        <f>IFERROR(INDEX(Alumnado!$P$9:$P$48,MATCH(F$7*100+$A21,Alumnado!$O$9:$O$48,0)),"")</f>
        <v/>
      </c>
      <c r="G21" s="13">
        <f>IFERROR(INDEX(Alumnado!$P$9:$P$48,MATCH(G$7*100+$A21,Alumnado!$O$9:$O$48,0)),"")</f>
        <v/>
      </c>
      <c r="H21" s="13">
        <f>IFERROR(INDEX(Alumnado!$P$9:$P$48,MATCH(H$7*100+$A21,Alumnado!$O$9:$O$48,0)),"")</f>
        <v/>
      </c>
      <c r="I21" s="13">
        <f>IFERROR(INDEX(Alumnado!$P$9:$P$48,MATCH(I$7*100+$A21,Alumnado!$O$9:$O$48,0)),"")</f>
        <v/>
      </c>
    </row>
    <row r="22">
      <c r="A22" s="29" t="n">
        <v>14</v>
      </c>
      <c r="B22" s="13">
        <f>IFERROR(INDEX(Alumnado!$P$9:$P$48,MATCH(B$7*100+$A22,Alumnado!$O$9:$O$48,0)),"")</f>
        <v/>
      </c>
      <c r="C22" s="13">
        <f>IFERROR(INDEX(Alumnado!$P$9:$P$48,MATCH(C$7*100+$A22,Alumnado!$O$9:$O$48,0)),"")</f>
        <v/>
      </c>
      <c r="D22" s="13">
        <f>IFERROR(INDEX(Alumnado!$P$9:$P$48,MATCH(D$7*100+$A22,Alumnado!$O$9:$O$48,0)),"")</f>
        <v/>
      </c>
      <c r="E22" s="13">
        <f>IFERROR(INDEX(Alumnado!$P$9:$P$48,MATCH(E$7*100+$A22,Alumnado!$O$9:$O$48,0)),"")</f>
        <v/>
      </c>
      <c r="F22" s="13">
        <f>IFERROR(INDEX(Alumnado!$P$9:$P$48,MATCH(F$7*100+$A22,Alumnado!$O$9:$O$48,0)),"")</f>
        <v/>
      </c>
      <c r="G22" s="13">
        <f>IFERROR(INDEX(Alumnado!$P$9:$P$48,MATCH(G$7*100+$A22,Alumnado!$O$9:$O$48,0)),"")</f>
        <v/>
      </c>
      <c r="H22" s="13">
        <f>IFERROR(INDEX(Alumnado!$P$9:$P$48,MATCH(H$7*100+$A22,Alumnado!$O$9:$O$48,0)),"")</f>
        <v/>
      </c>
      <c r="I22" s="13">
        <f>IFERROR(INDEX(Alumnado!$P$9:$P$48,MATCH(I$7*100+$A22,Alumnado!$O$9:$O$48,0)),"")</f>
        <v/>
      </c>
    </row>
    <row r="23">
      <c r="A23" s="29" t="n">
        <v>15</v>
      </c>
      <c r="B23" s="13">
        <f>IFERROR(INDEX(Alumnado!$P$9:$P$48,MATCH(B$7*100+$A23,Alumnado!$O$9:$O$48,0)),"")</f>
        <v/>
      </c>
      <c r="C23" s="13">
        <f>IFERROR(INDEX(Alumnado!$P$9:$P$48,MATCH(C$7*100+$A23,Alumnado!$O$9:$O$48,0)),"")</f>
        <v/>
      </c>
      <c r="D23" s="13">
        <f>IFERROR(INDEX(Alumnado!$P$9:$P$48,MATCH(D$7*100+$A23,Alumnado!$O$9:$O$48,0)),"")</f>
        <v/>
      </c>
      <c r="E23" s="13">
        <f>IFERROR(INDEX(Alumnado!$P$9:$P$48,MATCH(E$7*100+$A23,Alumnado!$O$9:$O$48,0)),"")</f>
        <v/>
      </c>
      <c r="F23" s="13">
        <f>IFERROR(INDEX(Alumnado!$P$9:$P$48,MATCH(F$7*100+$A23,Alumnado!$O$9:$O$48,0)),"")</f>
        <v/>
      </c>
      <c r="G23" s="13">
        <f>IFERROR(INDEX(Alumnado!$P$9:$P$48,MATCH(G$7*100+$A23,Alumnado!$O$9:$O$48,0)),"")</f>
        <v/>
      </c>
      <c r="H23" s="13">
        <f>IFERROR(INDEX(Alumnado!$P$9:$P$48,MATCH(H$7*100+$A23,Alumnado!$O$9:$O$48,0)),"")</f>
        <v/>
      </c>
      <c r="I23" s="13">
        <f>IFERROR(INDEX(Alumnado!$P$9:$P$48,MATCH(I$7*100+$A23,Alumnado!$O$9:$O$48,0)),"")</f>
        <v/>
      </c>
    </row>
    <row r="24">
      <c r="A24" s="29" t="n">
        <v>16</v>
      </c>
      <c r="B24" s="13">
        <f>IFERROR(INDEX(Alumnado!$P$9:$P$48,MATCH(B$7*100+$A24,Alumnado!$O$9:$O$48,0)),"")</f>
        <v/>
      </c>
      <c r="C24" s="13">
        <f>IFERROR(INDEX(Alumnado!$P$9:$P$48,MATCH(C$7*100+$A24,Alumnado!$O$9:$O$48,0)),"")</f>
        <v/>
      </c>
      <c r="D24" s="13">
        <f>IFERROR(INDEX(Alumnado!$P$9:$P$48,MATCH(D$7*100+$A24,Alumnado!$O$9:$O$48,0)),"")</f>
        <v/>
      </c>
      <c r="E24" s="13">
        <f>IFERROR(INDEX(Alumnado!$P$9:$P$48,MATCH(E$7*100+$A24,Alumnado!$O$9:$O$48,0)),"")</f>
        <v/>
      </c>
      <c r="F24" s="13">
        <f>IFERROR(INDEX(Alumnado!$P$9:$P$48,MATCH(F$7*100+$A24,Alumnado!$O$9:$O$48,0)),"")</f>
        <v/>
      </c>
      <c r="G24" s="13">
        <f>IFERROR(INDEX(Alumnado!$P$9:$P$48,MATCH(G$7*100+$A24,Alumnado!$O$9:$O$48,0)),"")</f>
        <v/>
      </c>
      <c r="H24" s="13">
        <f>IFERROR(INDEX(Alumnado!$P$9:$P$48,MATCH(H$7*100+$A24,Alumnado!$O$9:$O$48,0)),"")</f>
        <v/>
      </c>
      <c r="I24" s="13">
        <f>IFERROR(INDEX(Alumnado!$P$9:$P$48,MATCH(I$7*100+$A24,Alumnado!$O$9:$O$48,0)),"")</f>
        <v/>
      </c>
    </row>
    <row r="25">
      <c r="A25" s="29" t="n">
        <v>17</v>
      </c>
      <c r="B25" s="13">
        <f>IFERROR(INDEX(Alumnado!$P$9:$P$48,MATCH(B$7*100+$A25,Alumnado!$O$9:$O$48,0)),"")</f>
        <v/>
      </c>
      <c r="C25" s="13">
        <f>IFERROR(INDEX(Alumnado!$P$9:$P$48,MATCH(C$7*100+$A25,Alumnado!$O$9:$O$48,0)),"")</f>
        <v/>
      </c>
      <c r="D25" s="13">
        <f>IFERROR(INDEX(Alumnado!$P$9:$P$48,MATCH(D$7*100+$A25,Alumnado!$O$9:$O$48,0)),"")</f>
        <v/>
      </c>
      <c r="E25" s="13">
        <f>IFERROR(INDEX(Alumnado!$P$9:$P$48,MATCH(E$7*100+$A25,Alumnado!$O$9:$O$48,0)),"")</f>
        <v/>
      </c>
      <c r="F25" s="13">
        <f>IFERROR(INDEX(Alumnado!$P$9:$P$48,MATCH(F$7*100+$A25,Alumnado!$O$9:$O$48,0)),"")</f>
        <v/>
      </c>
      <c r="G25" s="13">
        <f>IFERROR(INDEX(Alumnado!$P$9:$P$48,MATCH(G$7*100+$A25,Alumnado!$O$9:$O$48,0)),"")</f>
        <v/>
      </c>
      <c r="H25" s="13">
        <f>IFERROR(INDEX(Alumnado!$P$9:$P$48,MATCH(H$7*100+$A25,Alumnado!$O$9:$O$48,0)),"")</f>
        <v/>
      </c>
      <c r="I25" s="13">
        <f>IFERROR(INDEX(Alumnado!$P$9:$P$48,MATCH(I$7*100+$A25,Alumnado!$O$9:$O$48,0)),"")</f>
        <v/>
      </c>
    </row>
    <row r="26">
      <c r="A26" s="29" t="n">
        <v>18</v>
      </c>
      <c r="B26" s="13">
        <f>IFERROR(INDEX(Alumnado!$P$9:$P$48,MATCH(B$7*100+$A26,Alumnado!$O$9:$O$48,0)),"")</f>
        <v/>
      </c>
      <c r="C26" s="13">
        <f>IFERROR(INDEX(Alumnado!$P$9:$P$48,MATCH(C$7*100+$A26,Alumnado!$O$9:$O$48,0)),"")</f>
        <v/>
      </c>
      <c r="D26" s="13">
        <f>IFERROR(INDEX(Alumnado!$P$9:$P$48,MATCH(D$7*100+$A26,Alumnado!$O$9:$O$48,0)),"")</f>
        <v/>
      </c>
      <c r="E26" s="13">
        <f>IFERROR(INDEX(Alumnado!$P$9:$P$48,MATCH(E$7*100+$A26,Alumnado!$O$9:$O$48,0)),"")</f>
        <v/>
      </c>
      <c r="F26" s="13">
        <f>IFERROR(INDEX(Alumnado!$P$9:$P$48,MATCH(F$7*100+$A26,Alumnado!$O$9:$O$48,0)),"")</f>
        <v/>
      </c>
      <c r="G26" s="13">
        <f>IFERROR(INDEX(Alumnado!$P$9:$P$48,MATCH(G$7*100+$A26,Alumnado!$O$9:$O$48,0)),"")</f>
        <v/>
      </c>
      <c r="H26" s="13">
        <f>IFERROR(INDEX(Alumnado!$P$9:$P$48,MATCH(H$7*100+$A26,Alumnado!$O$9:$O$48,0)),"")</f>
        <v/>
      </c>
      <c r="I26" s="13">
        <f>IFERROR(INDEX(Alumnado!$P$9:$P$48,MATCH(I$7*100+$A26,Alumnado!$O$9:$O$48,0)),"")</f>
        <v/>
      </c>
    </row>
    <row r="27">
      <c r="A27" s="29" t="n">
        <v>19</v>
      </c>
      <c r="B27" s="13">
        <f>IFERROR(INDEX(Alumnado!$P$9:$P$48,MATCH(B$7*100+$A27,Alumnado!$O$9:$O$48,0)),"")</f>
        <v/>
      </c>
      <c r="C27" s="13">
        <f>IFERROR(INDEX(Alumnado!$P$9:$P$48,MATCH(C$7*100+$A27,Alumnado!$O$9:$O$48,0)),"")</f>
        <v/>
      </c>
      <c r="D27" s="13">
        <f>IFERROR(INDEX(Alumnado!$P$9:$P$48,MATCH(D$7*100+$A27,Alumnado!$O$9:$O$48,0)),"")</f>
        <v/>
      </c>
      <c r="E27" s="13">
        <f>IFERROR(INDEX(Alumnado!$P$9:$P$48,MATCH(E$7*100+$A27,Alumnado!$O$9:$O$48,0)),"")</f>
        <v/>
      </c>
      <c r="F27" s="13">
        <f>IFERROR(INDEX(Alumnado!$P$9:$P$48,MATCH(F$7*100+$A27,Alumnado!$O$9:$O$48,0)),"")</f>
        <v/>
      </c>
      <c r="G27" s="13">
        <f>IFERROR(INDEX(Alumnado!$P$9:$P$48,MATCH(G$7*100+$A27,Alumnado!$O$9:$O$48,0)),"")</f>
        <v/>
      </c>
      <c r="H27" s="13">
        <f>IFERROR(INDEX(Alumnado!$P$9:$P$48,MATCH(H$7*100+$A27,Alumnado!$O$9:$O$48,0)),"")</f>
        <v/>
      </c>
      <c r="I27" s="13">
        <f>IFERROR(INDEX(Alumnado!$P$9:$P$48,MATCH(I$7*100+$A27,Alumnado!$O$9:$O$48,0)),"")</f>
        <v/>
      </c>
    </row>
    <row r="28">
      <c r="A28" s="29" t="n">
        <v>20</v>
      </c>
      <c r="B28" s="13">
        <f>IFERROR(INDEX(Alumnado!$P$9:$P$48,MATCH(B$7*100+$A28,Alumnado!$O$9:$O$48,0)),"")</f>
        <v/>
      </c>
      <c r="C28" s="13">
        <f>IFERROR(INDEX(Alumnado!$P$9:$P$48,MATCH(C$7*100+$A28,Alumnado!$O$9:$O$48,0)),"")</f>
        <v/>
      </c>
      <c r="D28" s="13">
        <f>IFERROR(INDEX(Alumnado!$P$9:$P$48,MATCH(D$7*100+$A28,Alumnado!$O$9:$O$48,0)),"")</f>
        <v/>
      </c>
      <c r="E28" s="13">
        <f>IFERROR(INDEX(Alumnado!$P$9:$P$48,MATCH(E$7*100+$A28,Alumnado!$O$9:$O$48,0)),"")</f>
        <v/>
      </c>
      <c r="F28" s="13">
        <f>IFERROR(INDEX(Alumnado!$P$9:$P$48,MATCH(F$7*100+$A28,Alumnado!$O$9:$O$48,0)),"")</f>
        <v/>
      </c>
      <c r="G28" s="13">
        <f>IFERROR(INDEX(Alumnado!$P$9:$P$48,MATCH(G$7*100+$A28,Alumnado!$O$9:$O$48,0)),"")</f>
        <v/>
      </c>
      <c r="H28" s="13">
        <f>IFERROR(INDEX(Alumnado!$P$9:$P$48,MATCH(H$7*100+$A28,Alumnado!$O$9:$O$48,0)),"")</f>
        <v/>
      </c>
      <c r="I28" s="13">
        <f>IFERROR(INDEX(Alumnado!$P$9:$P$48,MATCH(I$7*100+$A28,Alumnado!$O$9:$O$48,0)),"")</f>
        <v/>
      </c>
    </row>
    <row r="30">
      <c r="A30" s="29" t="inlineStr">
        <is>
          <t>Σ</t>
        </is>
      </c>
      <c r="B30" s="32">
        <f>IF(B$7&gt;Alumnado!$C$5,"",INDEX(Grupos!$C$9:$C$16,B$7)&amp;" alumnos")</f>
        <v/>
      </c>
      <c r="C30" s="32">
        <f>IF(C$7&gt;Alumnado!$C$5,"",INDEX(Grupos!$C$9:$C$16,C$7)&amp;" alumnos")</f>
        <v/>
      </c>
      <c r="D30" s="32">
        <f>IF(D$7&gt;Alumnado!$C$5,"",INDEX(Grupos!$C$9:$C$16,D$7)&amp;" alumnos")</f>
        <v/>
      </c>
      <c r="E30" s="32">
        <f>IF(E$7&gt;Alumnado!$C$5,"",INDEX(Grupos!$C$9:$C$16,E$7)&amp;" alumnos")</f>
        <v/>
      </c>
      <c r="F30" s="32">
        <f>IF(F$7&gt;Alumnado!$C$5,"",INDEX(Grupos!$C$9:$C$16,F$7)&amp;" alumnos")</f>
        <v/>
      </c>
      <c r="G30" s="32">
        <f>IF(G$7&gt;Alumnado!$C$5,"",INDEX(Grupos!$C$9:$C$16,G$7)&amp;" alumnos")</f>
        <v/>
      </c>
      <c r="H30" s="32">
        <f>IF(H$7&gt;Alumnado!$C$5,"",INDEX(Grupos!$C$9:$C$16,H$7)&amp;" alumnos")</f>
        <v/>
      </c>
      <c r="I30" s="32">
        <f>IF(I$7&gt;Alumnado!$C$5,"",INDEX(Grupos!$C$9:$C$16,I$7)&amp;" alumnos")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B9:I28">
    <cfRule type="expression" priority="1" dxfId="0">
      <formula>RIGHT(B9,4)=" (A)"</formula>
    </cfRule>
    <cfRule type="expression" priority="2" dxfId="1">
      <formula>RIGHT(B9,4)=" (B)"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Nivel</t>
        </is>
      </c>
      <c r="B1" t="inlineStr">
        <is>
          <t>Puntos</t>
        </is>
      </c>
    </row>
    <row r="2">
      <c r="A2" t="inlineStr">
        <is>
          <t>Alto</t>
        </is>
      </c>
      <c r="B2" t="n">
        <v>3</v>
      </c>
    </row>
    <row r="3">
      <c r="A3" t="inlineStr">
        <is>
          <t>Medio</t>
        </is>
      </c>
      <c r="B3" t="n">
        <v>2</v>
      </c>
    </row>
    <row r="4">
      <c r="A4" t="inlineStr">
        <is>
          <t>Bajo</t>
        </is>
      </c>
      <c r="B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generador de grupos</t>
        </is>
      </c>
    </row>
    <row r="3">
      <c r="B3" s="3" t="inlineStr">
        <is>
          <t>Plantilla gratuita de Plantillas de Cálculo · plantillasdecalculo.com</t>
        </is>
      </c>
    </row>
    <row r="5">
      <c r="B5" s="33" t="inlineStr">
        <is>
          <t>CÓMO USARLA</t>
        </is>
      </c>
    </row>
    <row r="6" ht="30" customHeight="1">
      <c r="B6" s="34" t="inlineStr">
        <is>
          <t>1.  Ve a la hoja «Alumnado» y escribe el nombre de cada alumno en la columna «Alumno» (hay sitio para 40). Usa nombres de pila o iniciales si prefieres no guardar datos personales.</t>
        </is>
      </c>
    </row>
    <row r="7" ht="30" customHeight="1">
      <c r="B7" s="34" t="inlineStr">
        <is>
          <t>2.  Elige su «Nivel» en el desplegable (Alto, Medio o Bajo). Es una valoración tuya: sirve para mezclar niveles en cada grupo, no es una nota.</t>
        </is>
      </c>
    </row>
    <row r="8" ht="30" customHeight="1">
      <c r="B8" s="34" t="inlineStr">
        <is>
          <t>3.  Si dos alumnos no deben coincidir, elige en «Separar de» el nombre del otro. Si quieres que alguien trabaje con un compañero, elígelo en «Preferiría con».</t>
        </is>
      </c>
    </row>
    <row r="9" ht="30" customHeight="1">
      <c r="B9" s="34" t="inlineStr">
        <is>
          <t>4.  Cambia el «Nº de grupos» (1 a 8) en la celda C5. Los grupos se reparten solos: se ordena a la clase por nivel y se reparte en serpiente para que todos tengan una mezcla similar.</t>
        </is>
      </c>
    </row>
    <row r="10" ht="30" customHeight="1">
      <c r="B10" s="34" t="inlineStr">
        <is>
          <t>5.  Si no te convence el reparto, cambia la «Semilla del reparto» (C6, de 1 a 1008) para obtener otro aleatorio. Con una misma semilla el resultado es siempre el mismo.</t>
        </is>
      </c>
    </row>
    <row r="11" ht="30" customHeight="1">
      <c r="B11" s="34" t="inlineStr">
        <is>
          <t>6.  Para forzar un cambio concreto, escribe un nº de grupo en «Grupo manual». Ese alumno pasa a ese grupo y se recalculan los avisos y el equilibrio.</t>
        </is>
      </c>
    </row>
    <row r="12" ht="30" customHeight="1">
      <c r="B12" s="34" t="inlineStr">
        <is>
          <t>7.  Revisa la hoja «Grupos» (media de nivel y estado de cada uno) y los avisos de «Separación incumplida» y «Afinidad» en «Alumnado».</t>
        </is>
      </c>
    </row>
    <row r="13" ht="30" customHeight="1">
      <c r="B13" s="34" t="inlineStr">
        <is>
          <t>8.  Imprime o copia la hoja «Listado»: tiene a cada grupo en una columna, con su nivel entre paréntesis (A, M o B).</t>
        </is>
      </c>
    </row>
    <row r="15">
      <c r="B15" s="33" t="inlineStr">
        <is>
          <t>CONSEJOS</t>
        </is>
      </c>
    </row>
    <row r="16" ht="30" customHeight="1">
      <c r="B16" s="34" t="inlineStr">
        <is>
          <t>•  Las celdas con fondo crema y texto azul son las que se rellenan; el resto son fórmulas y están protegidas (sin contraseña, se puede desproteger desde Revisar).</t>
        </is>
      </c>
    </row>
    <row r="17" ht="30" customHeight="1">
      <c r="B17" s="34" t="inlineStr">
        <is>
          <t>•  El reparto no usa ALEATORIO: los números de sorteo salen de una fórmula fija con la semilla, por eso el resultado no cambia cada vez que abres o editas el archivo.</t>
        </is>
      </c>
    </row>
    <row r="18" ht="30" customHeight="1">
      <c r="B18" s="34" t="inlineStr">
        <is>
          <t>•  La tolerancia de equilibrio (hoja «Grupos», C5) es un parámetro editable: un grupo se marca como «Equilibrado» si su media de nivel se aleja menos de ese valor de la media de la clase.</t>
        </is>
      </c>
    </row>
    <row r="19" ht="30" customHeight="1">
      <c r="B19" s="34" t="inlineStr">
        <is>
          <t>•  Las separaciones y afinidades son avisos: la plantilla no las impone, te dice si se cumplen y tú decides si ajustas con «Grupo manual».</t>
        </is>
      </c>
    </row>
    <row r="20" ht="30" customHeight="1">
      <c r="B20" s="34" t="inlineStr">
        <is>
          <t>•  Con pocos alumnos por grupo (2 o 3) es normal que algún grupo salga «Revisar»: sube la tolerancia o ajusta a mano.</t>
        </is>
      </c>
    </row>
    <row r="22">
      <c r="B22" s="35" t="inlineStr">
        <is>
          <t>Las celdas con fondo crema y texto azul son para rellenar; las verdes se calculan solas.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2026-10-03T09:46:09Z</dcterms:created>
  <dcterms:modified xmlns:dcterms="http://purl.org/dc/terms/" xmlns:xsi="http://www.w3.org/2001/XMLSchema-instance" xsi:type="dcterms:W3CDTF">2026-10-03T09:46:09Z</dcterms:modified>
</cp:coreProperties>
</file>