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Profesorado" sheetId="2" state="visible" r:id="rId2"/>
    <sheet xmlns:r="http://schemas.openxmlformats.org/officeDocument/2006/relationships" name="Guardias" sheetId="3" state="visible" r:id="rId3"/>
    <sheet xmlns:r="http://schemas.openxmlformats.org/officeDocument/2006/relationships" name="Sustituciones" sheetId="4" state="visible" r:id="rId4"/>
    <sheet xmlns:r="http://schemas.openxmlformats.org/officeDocument/2006/relationships" name="Listas" sheetId="5" state="hidden" r:id="rId5"/>
    <sheet xmlns:r="http://schemas.openxmlformats.org/officeDocument/2006/relationships" name="Instruccion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+0.0;-0.0;0.0"/>
    <numFmt numFmtId="165" formatCode="0.00000000"/>
    <numFmt numFmtId="166" formatCode="0.0"/>
    <numFmt numFmtId="167" formatCode="yyyy-mm-dd"/>
    <numFmt numFmtId="168" formatCode="dd/mm/yyyy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b val="1"/>
      <color rgb="00047857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3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3" fontId="12" fillId="6" borderId="0" applyAlignment="1" pivotButton="0" quotePrefix="0" xfId="0">
      <alignment horizontal="center" vertical="center"/>
    </xf>
    <xf numFmtId="166" fontId="12" fillId="6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8" fillId="0" borderId="1" applyAlignment="1" pivotButton="0" quotePrefix="0" xfId="0">
      <alignment horizontal="center" vertical="center" wrapText="1"/>
    </xf>
    <xf numFmtId="1" fontId="7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1" fontId="8" fillId="0" borderId="1" applyAlignment="1" pivotButton="0" quotePrefix="0" xfId="0">
      <alignment horizontal="center" vertical="center"/>
    </xf>
    <xf numFmtId="0" fontId="10" fillId="5" borderId="1" applyAlignment="1" pivotButton="0" quotePrefix="0" xfId="0">
      <alignment vertical="center"/>
    </xf>
    <xf numFmtId="1" fontId="10" fillId="5" borderId="1" applyAlignment="1" pivotButton="0" quotePrefix="0" xfId="0">
      <alignment vertical="center"/>
    </xf>
    <xf numFmtId="3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9" fontId="4" fillId="3" borderId="1" applyAlignment="1" applyProtection="1" pivotButton="0" quotePrefix="0" xfId="0">
      <alignment horizontal="center" vertical="center"/>
      <protection locked="0" hidden="0"/>
    </xf>
    <xf numFmtId="0" fontId="6" fillId="0" borderId="0" pivotButton="0" quotePrefix="0" xfId="0"/>
    <xf numFmtId="164" fontId="8" fillId="0" borderId="1" applyAlignment="1" pivotButton="0" quotePrefix="0" xfId="0">
      <alignment horizontal="center" vertical="center"/>
    </xf>
    <xf numFmtId="165" fontId="9" fillId="0" borderId="1" applyAlignment="1" pivotButton="0" quotePrefix="0" xfId="0">
      <alignment vertical="center"/>
    </xf>
    <xf numFmtId="166" fontId="10" fillId="5" borderId="1" applyAlignment="1" pivotButton="0" quotePrefix="0" xfId="0">
      <alignment vertical="center"/>
    </xf>
    <xf numFmtId="49" fontId="9" fillId="0" borderId="1" applyAlignment="1" pivotButton="0" quotePrefix="0" xfId="0">
      <alignment vertical="center"/>
    </xf>
    <xf numFmtId="168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1D4ED8"/>
      </font>
      <fill>
        <patternFill patternType="solid">
          <fgColor rgb="00DBEAFE"/>
          <bgColor rgb="00DBEA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Guardias por día de la semana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'Panel'!C33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'Panel'!$B$34:$B$38</f>
            </numRef>
          </cat>
          <val>
            <numRef>
              <f>'Panel'!$C$34:$C$38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Sustituciones por motivo</a:t>
            </a:r>
          </a:p>
        </rich>
      </tx>
    </title>
    <plotArea>
      <pieChart>
        <varyColors val="1"/>
        <ser>
          <idx val="0"/>
          <order val="0"/>
          <tx>
            <strRef>
              <f>'Panel'!H33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'Panel'!$G$34:$G$38</f>
            </numRef>
          </cat>
          <val>
            <numRef>
              <f>'Panel'!$H$34:$H$38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47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47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22" customWidth="1" min="2" max="2"/>
    <col width="11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13" customWidth="1" min="9" max="9"/>
    <col width="11" customWidth="1" min="10" max="10"/>
  </cols>
  <sheetData>
    <row r="2" ht="34" customHeight="1">
      <c r="B2" s="1" t="inlineStr">
        <is>
          <t>Panel de guardias del centro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Cuadrante semanal, cobertura por franja, carga del profesorado y sustituciones. Define aquí las franjas y cuántas guardias necesitas en cada una.</t>
        </is>
      </c>
    </row>
    <row r="5" ht="26" customHeight="1">
      <c r="B5" s="4" t="inlineStr">
        <is>
          <t>DOCENTES EN EL CUADRO</t>
        </is>
      </c>
      <c r="D5" s="4" t="inlineStr">
        <is>
          <t>GUARDIAS SEMANALES</t>
        </is>
      </c>
      <c r="E5" s="4" t="inlineStr">
        <is>
          <t>COBERTURA DE FRANJAS</t>
        </is>
      </c>
      <c r="F5" s="4" t="inlineStr">
        <is>
          <t>HUECOS SIN CUBRIR / SEM.</t>
        </is>
      </c>
      <c r="G5" s="4" t="inlineStr">
        <is>
          <t>MINUTOS DE GUARDIA / SEM.</t>
        </is>
      </c>
      <c r="H5" s="4" t="inlineStr">
        <is>
          <t>GUARDIAS DE RECREO</t>
        </is>
      </c>
    </row>
    <row r="6" ht="30" customHeight="1">
      <c r="B6" s="5">
        <f>COUNTIF(Profesorado!B8:B27,"?*")</f>
        <v/>
      </c>
      <c r="D6" s="5">
        <f>COUNTIF(Guardias!F8:F67,"?*")</f>
        <v/>
      </c>
      <c r="E6" s="6">
        <f>IFERROR(1-SUM(J13:J19)/(SUM(I13:I19)*5),0)</f>
        <v/>
      </c>
      <c r="F6" s="5">
        <f>SUM(J13:J19)</f>
        <v/>
      </c>
      <c r="G6" s="7">
        <f>SUM(Guardias!H8:H67)</f>
        <v/>
      </c>
      <c r="H6" s="5">
        <f>COUNTIF(Guardias!D8:D67,"Recreo")</f>
        <v/>
      </c>
    </row>
    <row r="8" ht="26" customHeight="1">
      <c r="B8" s="4" t="inlineStr">
        <is>
          <t>MEDIA GUARDIAS / DOCENTE</t>
        </is>
      </c>
      <c r="D8" s="4" t="inlineStr">
        <is>
          <t>SUSTITUCIONES REGISTRADAS</t>
        </is>
      </c>
      <c r="E8" s="4" t="inlineStr">
        <is>
          <t>SUSTITUCIONES SIN CUBRIR</t>
        </is>
      </c>
      <c r="F8" s="4" t="inlineStr">
        <is>
          <t>DOCENTES A REEQUILIBRAR</t>
        </is>
      </c>
      <c r="G8" s="4" t="inlineStr">
        <is>
          <t>MINUTOS SUSTITUIDOS</t>
        </is>
      </c>
      <c r="H8" s="4" t="inlineStr">
        <is>
          <t>DOCENTE CON MÁS CARGA</t>
        </is>
      </c>
    </row>
    <row r="9" ht="30" customHeight="1">
      <c r="B9" s="8">
        <f>IFERROR(D6/B6,0)</f>
        <v/>
      </c>
      <c r="D9" s="5">
        <f>COUNT(Sustituciones!B8:B37)</f>
        <v/>
      </c>
      <c r="E9" s="5">
        <f>COUNTIF(Sustituciones!J8:J37,"Sin cubrir")</f>
        <v/>
      </c>
      <c r="F9" s="5">
        <f>COUNTIF(Profesorado!J8:J27,"Sobrecargado")+COUNTIF(Profesorado!J8:J27,"Excede máximo")</f>
        <v/>
      </c>
      <c r="G9" s="7">
        <f>SUM(Sustituciones!I8:I37)</f>
        <v/>
      </c>
      <c r="H9" s="9">
        <f>IFERROR(B42,"")</f>
        <v/>
      </c>
    </row>
    <row r="11">
      <c r="B11" s="10" t="inlineStr">
        <is>
          <t>CUADRANTE SEMANAL DE GUARDIAS  (franjas y necesidades editables)</t>
        </is>
      </c>
    </row>
    <row r="12" ht="30" customHeight="1">
      <c r="B12" s="11" t="inlineStr">
        <is>
          <t>Franja</t>
        </is>
      </c>
      <c r="C12" s="11" t="inlineStr">
        <is>
          <t>Minutos</t>
        </is>
      </c>
      <c r="D12" s="11" t="inlineStr">
        <is>
          <t>Lunes</t>
        </is>
      </c>
      <c r="E12" s="11" t="inlineStr">
        <is>
          <t>Martes</t>
        </is>
      </c>
      <c r="F12" s="11" t="inlineStr">
        <is>
          <t>Miércoles</t>
        </is>
      </c>
      <c r="G12" s="11" t="inlineStr">
        <is>
          <t>Jueves</t>
        </is>
      </c>
      <c r="H12" s="11" t="inlineStr">
        <is>
          <t>Viernes</t>
        </is>
      </c>
      <c r="I12" s="11" t="inlineStr">
        <is>
          <t>Necesarias / día</t>
        </is>
      </c>
      <c r="J12" s="11" t="inlineStr">
        <is>
          <t>Faltan / sem.</t>
        </is>
      </c>
    </row>
    <row r="13" ht="32" customHeight="1">
      <c r="B13" s="12" t="inlineStr">
        <is>
          <t>1ª hora</t>
        </is>
      </c>
      <c r="C13" s="13" t="n">
        <v>55</v>
      </c>
      <c r="D13" s="14">
        <f>IF($B13="","",IF(D23=0,IF($I13&gt;0,"Sin cubrir",""),IFERROR(INDEX(Guardias!$F$8:$F$67,MATCH(D$12&amp;"|"&amp;$B13&amp;"|1",Guardias!$J$8:$J$67,0)),"")&amp;IFERROR(", "&amp;INDEX(Guardias!$F$8:$F$67,MATCH(D$12&amp;"|"&amp;$B13&amp;"|2",Guardias!$J$8:$J$67,0)),"")&amp;IFERROR(", "&amp;INDEX(Guardias!$F$8:$F$67,MATCH(D$12&amp;"|"&amp;$B13&amp;"|3",Guardias!$J$8:$J$67,0)),"")))</f>
        <v/>
      </c>
      <c r="E13" s="14">
        <f>IF($B13="","",IF(E23=0,IF($I13&gt;0,"Sin cubrir",""),IFERROR(INDEX(Guardias!$F$8:$F$67,MATCH(E$12&amp;"|"&amp;$B13&amp;"|1",Guardias!$J$8:$J$67,0)),"")&amp;IFERROR(", "&amp;INDEX(Guardias!$F$8:$F$67,MATCH(E$12&amp;"|"&amp;$B13&amp;"|2",Guardias!$J$8:$J$67,0)),"")&amp;IFERROR(", "&amp;INDEX(Guardias!$F$8:$F$67,MATCH(E$12&amp;"|"&amp;$B13&amp;"|3",Guardias!$J$8:$J$67,0)),"")))</f>
        <v/>
      </c>
      <c r="F13" s="14">
        <f>IF($B13="","",IF(F23=0,IF($I13&gt;0,"Sin cubrir",""),IFERROR(INDEX(Guardias!$F$8:$F$67,MATCH(F$12&amp;"|"&amp;$B13&amp;"|1",Guardias!$J$8:$J$67,0)),"")&amp;IFERROR(", "&amp;INDEX(Guardias!$F$8:$F$67,MATCH(F$12&amp;"|"&amp;$B13&amp;"|2",Guardias!$J$8:$J$67,0)),"")&amp;IFERROR(", "&amp;INDEX(Guardias!$F$8:$F$67,MATCH(F$12&amp;"|"&amp;$B13&amp;"|3",Guardias!$J$8:$J$67,0)),"")))</f>
        <v/>
      </c>
      <c r="G13" s="14">
        <f>IF($B13="","",IF(G23=0,IF($I13&gt;0,"Sin cubrir",""),IFERROR(INDEX(Guardias!$F$8:$F$67,MATCH(G$12&amp;"|"&amp;$B13&amp;"|1",Guardias!$J$8:$J$67,0)),"")&amp;IFERROR(", "&amp;INDEX(Guardias!$F$8:$F$67,MATCH(G$12&amp;"|"&amp;$B13&amp;"|2",Guardias!$J$8:$J$67,0)),"")&amp;IFERROR(", "&amp;INDEX(Guardias!$F$8:$F$67,MATCH(G$12&amp;"|"&amp;$B13&amp;"|3",Guardias!$J$8:$J$67,0)),"")))</f>
        <v/>
      </c>
      <c r="H13" s="14">
        <f>IF($B13="","",IF(H23=0,IF($I13&gt;0,"Sin cubrir",""),IFERROR(INDEX(Guardias!$F$8:$F$67,MATCH(H$12&amp;"|"&amp;$B13&amp;"|1",Guardias!$J$8:$J$67,0)),"")&amp;IFERROR(", "&amp;INDEX(Guardias!$F$8:$F$67,MATCH(H$12&amp;"|"&amp;$B13&amp;"|2",Guardias!$J$8:$J$67,0)),"")&amp;IFERROR(", "&amp;INDEX(Guardias!$F$8:$F$67,MATCH(H$12&amp;"|"&amp;$B13&amp;"|3",Guardias!$J$8:$J$67,0)),"")))</f>
        <v/>
      </c>
      <c r="I13" s="13" t="n">
        <v>1</v>
      </c>
      <c r="J13" s="15">
        <f>IF(B13="","",SUMPRODUCT((D23:H23&lt;$I13)*($I13-D23:H23)))</f>
        <v/>
      </c>
    </row>
    <row r="14" ht="32" customHeight="1">
      <c r="B14" s="12" t="inlineStr">
        <is>
          <t>2ª hora</t>
        </is>
      </c>
      <c r="C14" s="13" t="n">
        <v>55</v>
      </c>
      <c r="D14" s="14">
        <f>IF($B14="","",IF(D24=0,IF($I14&gt;0,"Sin cubrir",""),IFERROR(INDEX(Guardias!$F$8:$F$67,MATCH(D$12&amp;"|"&amp;$B14&amp;"|1",Guardias!$J$8:$J$67,0)),"")&amp;IFERROR(", "&amp;INDEX(Guardias!$F$8:$F$67,MATCH(D$12&amp;"|"&amp;$B14&amp;"|2",Guardias!$J$8:$J$67,0)),"")&amp;IFERROR(", "&amp;INDEX(Guardias!$F$8:$F$67,MATCH(D$12&amp;"|"&amp;$B14&amp;"|3",Guardias!$J$8:$J$67,0)),"")))</f>
        <v/>
      </c>
      <c r="E14" s="14">
        <f>IF($B14="","",IF(E24=0,IF($I14&gt;0,"Sin cubrir",""),IFERROR(INDEX(Guardias!$F$8:$F$67,MATCH(E$12&amp;"|"&amp;$B14&amp;"|1",Guardias!$J$8:$J$67,0)),"")&amp;IFERROR(", "&amp;INDEX(Guardias!$F$8:$F$67,MATCH(E$12&amp;"|"&amp;$B14&amp;"|2",Guardias!$J$8:$J$67,0)),"")&amp;IFERROR(", "&amp;INDEX(Guardias!$F$8:$F$67,MATCH(E$12&amp;"|"&amp;$B14&amp;"|3",Guardias!$J$8:$J$67,0)),"")))</f>
        <v/>
      </c>
      <c r="F14" s="14">
        <f>IF($B14="","",IF(F24=0,IF($I14&gt;0,"Sin cubrir",""),IFERROR(INDEX(Guardias!$F$8:$F$67,MATCH(F$12&amp;"|"&amp;$B14&amp;"|1",Guardias!$J$8:$J$67,0)),"")&amp;IFERROR(", "&amp;INDEX(Guardias!$F$8:$F$67,MATCH(F$12&amp;"|"&amp;$B14&amp;"|2",Guardias!$J$8:$J$67,0)),"")&amp;IFERROR(", "&amp;INDEX(Guardias!$F$8:$F$67,MATCH(F$12&amp;"|"&amp;$B14&amp;"|3",Guardias!$J$8:$J$67,0)),"")))</f>
        <v/>
      </c>
      <c r="G14" s="14">
        <f>IF($B14="","",IF(G24=0,IF($I14&gt;0,"Sin cubrir",""),IFERROR(INDEX(Guardias!$F$8:$F$67,MATCH(G$12&amp;"|"&amp;$B14&amp;"|1",Guardias!$J$8:$J$67,0)),"")&amp;IFERROR(", "&amp;INDEX(Guardias!$F$8:$F$67,MATCH(G$12&amp;"|"&amp;$B14&amp;"|2",Guardias!$J$8:$J$67,0)),"")&amp;IFERROR(", "&amp;INDEX(Guardias!$F$8:$F$67,MATCH(G$12&amp;"|"&amp;$B14&amp;"|3",Guardias!$J$8:$J$67,0)),"")))</f>
        <v/>
      </c>
      <c r="H14" s="14">
        <f>IF($B14="","",IF(H24=0,IF($I14&gt;0,"Sin cubrir",""),IFERROR(INDEX(Guardias!$F$8:$F$67,MATCH(H$12&amp;"|"&amp;$B14&amp;"|1",Guardias!$J$8:$J$67,0)),"")&amp;IFERROR(", "&amp;INDEX(Guardias!$F$8:$F$67,MATCH(H$12&amp;"|"&amp;$B14&amp;"|2",Guardias!$J$8:$J$67,0)),"")&amp;IFERROR(", "&amp;INDEX(Guardias!$F$8:$F$67,MATCH(H$12&amp;"|"&amp;$B14&amp;"|3",Guardias!$J$8:$J$67,0)),"")))</f>
        <v/>
      </c>
      <c r="I14" s="13" t="n">
        <v>1</v>
      </c>
      <c r="J14" s="15">
        <f>IF(B14="","",SUMPRODUCT((D24:H24&lt;$I14)*($I14-D24:H24)))</f>
        <v/>
      </c>
    </row>
    <row r="15" ht="32" customHeight="1">
      <c r="B15" s="12" t="inlineStr">
        <is>
          <t>3ª hora</t>
        </is>
      </c>
      <c r="C15" s="13" t="n">
        <v>55</v>
      </c>
      <c r="D15" s="14">
        <f>IF($B15="","",IF(D25=0,IF($I15&gt;0,"Sin cubrir",""),IFERROR(INDEX(Guardias!$F$8:$F$67,MATCH(D$12&amp;"|"&amp;$B15&amp;"|1",Guardias!$J$8:$J$67,0)),"")&amp;IFERROR(", "&amp;INDEX(Guardias!$F$8:$F$67,MATCH(D$12&amp;"|"&amp;$B15&amp;"|2",Guardias!$J$8:$J$67,0)),"")&amp;IFERROR(", "&amp;INDEX(Guardias!$F$8:$F$67,MATCH(D$12&amp;"|"&amp;$B15&amp;"|3",Guardias!$J$8:$J$67,0)),"")))</f>
        <v/>
      </c>
      <c r="E15" s="14">
        <f>IF($B15="","",IF(E25=0,IF($I15&gt;0,"Sin cubrir",""),IFERROR(INDEX(Guardias!$F$8:$F$67,MATCH(E$12&amp;"|"&amp;$B15&amp;"|1",Guardias!$J$8:$J$67,0)),"")&amp;IFERROR(", "&amp;INDEX(Guardias!$F$8:$F$67,MATCH(E$12&amp;"|"&amp;$B15&amp;"|2",Guardias!$J$8:$J$67,0)),"")&amp;IFERROR(", "&amp;INDEX(Guardias!$F$8:$F$67,MATCH(E$12&amp;"|"&amp;$B15&amp;"|3",Guardias!$J$8:$J$67,0)),"")))</f>
        <v/>
      </c>
      <c r="F15" s="14">
        <f>IF($B15="","",IF(F25=0,IF($I15&gt;0,"Sin cubrir",""),IFERROR(INDEX(Guardias!$F$8:$F$67,MATCH(F$12&amp;"|"&amp;$B15&amp;"|1",Guardias!$J$8:$J$67,0)),"")&amp;IFERROR(", "&amp;INDEX(Guardias!$F$8:$F$67,MATCH(F$12&amp;"|"&amp;$B15&amp;"|2",Guardias!$J$8:$J$67,0)),"")&amp;IFERROR(", "&amp;INDEX(Guardias!$F$8:$F$67,MATCH(F$12&amp;"|"&amp;$B15&amp;"|3",Guardias!$J$8:$J$67,0)),"")))</f>
        <v/>
      </c>
      <c r="G15" s="14">
        <f>IF($B15="","",IF(G25=0,IF($I15&gt;0,"Sin cubrir",""),IFERROR(INDEX(Guardias!$F$8:$F$67,MATCH(G$12&amp;"|"&amp;$B15&amp;"|1",Guardias!$J$8:$J$67,0)),"")&amp;IFERROR(", "&amp;INDEX(Guardias!$F$8:$F$67,MATCH(G$12&amp;"|"&amp;$B15&amp;"|2",Guardias!$J$8:$J$67,0)),"")&amp;IFERROR(", "&amp;INDEX(Guardias!$F$8:$F$67,MATCH(G$12&amp;"|"&amp;$B15&amp;"|3",Guardias!$J$8:$J$67,0)),"")))</f>
        <v/>
      </c>
      <c r="H15" s="14">
        <f>IF($B15="","",IF(H25=0,IF($I15&gt;0,"Sin cubrir",""),IFERROR(INDEX(Guardias!$F$8:$F$67,MATCH(H$12&amp;"|"&amp;$B15&amp;"|1",Guardias!$J$8:$J$67,0)),"")&amp;IFERROR(", "&amp;INDEX(Guardias!$F$8:$F$67,MATCH(H$12&amp;"|"&amp;$B15&amp;"|2",Guardias!$J$8:$J$67,0)),"")&amp;IFERROR(", "&amp;INDEX(Guardias!$F$8:$F$67,MATCH(H$12&amp;"|"&amp;$B15&amp;"|3",Guardias!$J$8:$J$67,0)),"")))</f>
        <v/>
      </c>
      <c r="I15" s="13" t="n">
        <v>1</v>
      </c>
      <c r="J15" s="15">
        <f>IF(B15="","",SUMPRODUCT((D25:H25&lt;$I15)*($I15-D25:H25)))</f>
        <v/>
      </c>
    </row>
    <row r="16" ht="32" customHeight="1">
      <c r="B16" s="12" t="inlineStr">
        <is>
          <t>Recreo</t>
        </is>
      </c>
      <c r="C16" s="13" t="n">
        <v>30</v>
      </c>
      <c r="D16" s="14">
        <f>IF($B16="","",IF(D26=0,IF($I16&gt;0,"Sin cubrir",""),IFERROR(INDEX(Guardias!$F$8:$F$67,MATCH(D$12&amp;"|"&amp;$B16&amp;"|1",Guardias!$J$8:$J$67,0)),"")&amp;IFERROR(", "&amp;INDEX(Guardias!$F$8:$F$67,MATCH(D$12&amp;"|"&amp;$B16&amp;"|2",Guardias!$J$8:$J$67,0)),"")&amp;IFERROR(", "&amp;INDEX(Guardias!$F$8:$F$67,MATCH(D$12&amp;"|"&amp;$B16&amp;"|3",Guardias!$J$8:$J$67,0)),"")))</f>
        <v/>
      </c>
      <c r="E16" s="14">
        <f>IF($B16="","",IF(E26=0,IF($I16&gt;0,"Sin cubrir",""),IFERROR(INDEX(Guardias!$F$8:$F$67,MATCH(E$12&amp;"|"&amp;$B16&amp;"|1",Guardias!$J$8:$J$67,0)),"")&amp;IFERROR(", "&amp;INDEX(Guardias!$F$8:$F$67,MATCH(E$12&amp;"|"&amp;$B16&amp;"|2",Guardias!$J$8:$J$67,0)),"")&amp;IFERROR(", "&amp;INDEX(Guardias!$F$8:$F$67,MATCH(E$12&amp;"|"&amp;$B16&amp;"|3",Guardias!$J$8:$J$67,0)),"")))</f>
        <v/>
      </c>
      <c r="F16" s="14">
        <f>IF($B16="","",IF(F26=0,IF($I16&gt;0,"Sin cubrir",""),IFERROR(INDEX(Guardias!$F$8:$F$67,MATCH(F$12&amp;"|"&amp;$B16&amp;"|1",Guardias!$J$8:$J$67,0)),"")&amp;IFERROR(", "&amp;INDEX(Guardias!$F$8:$F$67,MATCH(F$12&amp;"|"&amp;$B16&amp;"|2",Guardias!$J$8:$J$67,0)),"")&amp;IFERROR(", "&amp;INDEX(Guardias!$F$8:$F$67,MATCH(F$12&amp;"|"&amp;$B16&amp;"|3",Guardias!$J$8:$J$67,0)),"")))</f>
        <v/>
      </c>
      <c r="G16" s="14">
        <f>IF($B16="","",IF(G26=0,IF($I16&gt;0,"Sin cubrir",""),IFERROR(INDEX(Guardias!$F$8:$F$67,MATCH(G$12&amp;"|"&amp;$B16&amp;"|1",Guardias!$J$8:$J$67,0)),"")&amp;IFERROR(", "&amp;INDEX(Guardias!$F$8:$F$67,MATCH(G$12&amp;"|"&amp;$B16&amp;"|2",Guardias!$J$8:$J$67,0)),"")&amp;IFERROR(", "&amp;INDEX(Guardias!$F$8:$F$67,MATCH(G$12&amp;"|"&amp;$B16&amp;"|3",Guardias!$J$8:$J$67,0)),"")))</f>
        <v/>
      </c>
      <c r="H16" s="14">
        <f>IF($B16="","",IF(H26=0,IF($I16&gt;0,"Sin cubrir",""),IFERROR(INDEX(Guardias!$F$8:$F$67,MATCH(H$12&amp;"|"&amp;$B16&amp;"|1",Guardias!$J$8:$J$67,0)),"")&amp;IFERROR(", "&amp;INDEX(Guardias!$F$8:$F$67,MATCH(H$12&amp;"|"&amp;$B16&amp;"|2",Guardias!$J$8:$J$67,0)),"")&amp;IFERROR(", "&amp;INDEX(Guardias!$F$8:$F$67,MATCH(H$12&amp;"|"&amp;$B16&amp;"|3",Guardias!$J$8:$J$67,0)),"")))</f>
        <v/>
      </c>
      <c r="I16" s="13" t="n">
        <v>2</v>
      </c>
      <c r="J16" s="15">
        <f>IF(B16="","",SUMPRODUCT((D26:H26&lt;$I16)*($I16-D26:H26)))</f>
        <v/>
      </c>
    </row>
    <row r="17" ht="32" customHeight="1">
      <c r="B17" s="12" t="inlineStr">
        <is>
          <t>4ª hora</t>
        </is>
      </c>
      <c r="C17" s="13" t="n">
        <v>55</v>
      </c>
      <c r="D17" s="14">
        <f>IF($B17="","",IF(D27=0,IF($I17&gt;0,"Sin cubrir",""),IFERROR(INDEX(Guardias!$F$8:$F$67,MATCH(D$12&amp;"|"&amp;$B17&amp;"|1",Guardias!$J$8:$J$67,0)),"")&amp;IFERROR(", "&amp;INDEX(Guardias!$F$8:$F$67,MATCH(D$12&amp;"|"&amp;$B17&amp;"|2",Guardias!$J$8:$J$67,0)),"")&amp;IFERROR(", "&amp;INDEX(Guardias!$F$8:$F$67,MATCH(D$12&amp;"|"&amp;$B17&amp;"|3",Guardias!$J$8:$J$67,0)),"")))</f>
        <v/>
      </c>
      <c r="E17" s="14">
        <f>IF($B17="","",IF(E27=0,IF($I17&gt;0,"Sin cubrir",""),IFERROR(INDEX(Guardias!$F$8:$F$67,MATCH(E$12&amp;"|"&amp;$B17&amp;"|1",Guardias!$J$8:$J$67,0)),"")&amp;IFERROR(", "&amp;INDEX(Guardias!$F$8:$F$67,MATCH(E$12&amp;"|"&amp;$B17&amp;"|2",Guardias!$J$8:$J$67,0)),"")&amp;IFERROR(", "&amp;INDEX(Guardias!$F$8:$F$67,MATCH(E$12&amp;"|"&amp;$B17&amp;"|3",Guardias!$J$8:$J$67,0)),"")))</f>
        <v/>
      </c>
      <c r="F17" s="14">
        <f>IF($B17="","",IF(F27=0,IF($I17&gt;0,"Sin cubrir",""),IFERROR(INDEX(Guardias!$F$8:$F$67,MATCH(F$12&amp;"|"&amp;$B17&amp;"|1",Guardias!$J$8:$J$67,0)),"")&amp;IFERROR(", "&amp;INDEX(Guardias!$F$8:$F$67,MATCH(F$12&amp;"|"&amp;$B17&amp;"|2",Guardias!$J$8:$J$67,0)),"")&amp;IFERROR(", "&amp;INDEX(Guardias!$F$8:$F$67,MATCH(F$12&amp;"|"&amp;$B17&amp;"|3",Guardias!$J$8:$J$67,0)),"")))</f>
        <v/>
      </c>
      <c r="G17" s="14">
        <f>IF($B17="","",IF(G27=0,IF($I17&gt;0,"Sin cubrir",""),IFERROR(INDEX(Guardias!$F$8:$F$67,MATCH(G$12&amp;"|"&amp;$B17&amp;"|1",Guardias!$J$8:$J$67,0)),"")&amp;IFERROR(", "&amp;INDEX(Guardias!$F$8:$F$67,MATCH(G$12&amp;"|"&amp;$B17&amp;"|2",Guardias!$J$8:$J$67,0)),"")&amp;IFERROR(", "&amp;INDEX(Guardias!$F$8:$F$67,MATCH(G$12&amp;"|"&amp;$B17&amp;"|3",Guardias!$J$8:$J$67,0)),"")))</f>
        <v/>
      </c>
      <c r="H17" s="14">
        <f>IF($B17="","",IF(H27=0,IF($I17&gt;0,"Sin cubrir",""),IFERROR(INDEX(Guardias!$F$8:$F$67,MATCH(H$12&amp;"|"&amp;$B17&amp;"|1",Guardias!$J$8:$J$67,0)),"")&amp;IFERROR(", "&amp;INDEX(Guardias!$F$8:$F$67,MATCH(H$12&amp;"|"&amp;$B17&amp;"|2",Guardias!$J$8:$J$67,0)),"")&amp;IFERROR(", "&amp;INDEX(Guardias!$F$8:$F$67,MATCH(H$12&amp;"|"&amp;$B17&amp;"|3",Guardias!$J$8:$J$67,0)),"")))</f>
        <v/>
      </c>
      <c r="I17" s="13" t="n">
        <v>1</v>
      </c>
      <c r="J17" s="15">
        <f>IF(B17="","",SUMPRODUCT((D27:H27&lt;$I17)*($I17-D27:H27)))</f>
        <v/>
      </c>
    </row>
    <row r="18" ht="32" customHeight="1">
      <c r="B18" s="12" t="inlineStr">
        <is>
          <t>5ª hora</t>
        </is>
      </c>
      <c r="C18" s="13" t="n">
        <v>55</v>
      </c>
      <c r="D18" s="14">
        <f>IF($B18="","",IF(D28=0,IF($I18&gt;0,"Sin cubrir",""),IFERROR(INDEX(Guardias!$F$8:$F$67,MATCH(D$12&amp;"|"&amp;$B18&amp;"|1",Guardias!$J$8:$J$67,0)),"")&amp;IFERROR(", "&amp;INDEX(Guardias!$F$8:$F$67,MATCH(D$12&amp;"|"&amp;$B18&amp;"|2",Guardias!$J$8:$J$67,0)),"")&amp;IFERROR(", "&amp;INDEX(Guardias!$F$8:$F$67,MATCH(D$12&amp;"|"&amp;$B18&amp;"|3",Guardias!$J$8:$J$67,0)),"")))</f>
        <v/>
      </c>
      <c r="E18" s="14">
        <f>IF($B18="","",IF(E28=0,IF($I18&gt;0,"Sin cubrir",""),IFERROR(INDEX(Guardias!$F$8:$F$67,MATCH(E$12&amp;"|"&amp;$B18&amp;"|1",Guardias!$J$8:$J$67,0)),"")&amp;IFERROR(", "&amp;INDEX(Guardias!$F$8:$F$67,MATCH(E$12&amp;"|"&amp;$B18&amp;"|2",Guardias!$J$8:$J$67,0)),"")&amp;IFERROR(", "&amp;INDEX(Guardias!$F$8:$F$67,MATCH(E$12&amp;"|"&amp;$B18&amp;"|3",Guardias!$J$8:$J$67,0)),"")))</f>
        <v/>
      </c>
      <c r="F18" s="14">
        <f>IF($B18="","",IF(F28=0,IF($I18&gt;0,"Sin cubrir",""),IFERROR(INDEX(Guardias!$F$8:$F$67,MATCH(F$12&amp;"|"&amp;$B18&amp;"|1",Guardias!$J$8:$J$67,0)),"")&amp;IFERROR(", "&amp;INDEX(Guardias!$F$8:$F$67,MATCH(F$12&amp;"|"&amp;$B18&amp;"|2",Guardias!$J$8:$J$67,0)),"")&amp;IFERROR(", "&amp;INDEX(Guardias!$F$8:$F$67,MATCH(F$12&amp;"|"&amp;$B18&amp;"|3",Guardias!$J$8:$J$67,0)),"")))</f>
        <v/>
      </c>
      <c r="G18" s="14">
        <f>IF($B18="","",IF(G28=0,IF($I18&gt;0,"Sin cubrir",""),IFERROR(INDEX(Guardias!$F$8:$F$67,MATCH(G$12&amp;"|"&amp;$B18&amp;"|1",Guardias!$J$8:$J$67,0)),"")&amp;IFERROR(", "&amp;INDEX(Guardias!$F$8:$F$67,MATCH(G$12&amp;"|"&amp;$B18&amp;"|2",Guardias!$J$8:$J$67,0)),"")&amp;IFERROR(", "&amp;INDEX(Guardias!$F$8:$F$67,MATCH(G$12&amp;"|"&amp;$B18&amp;"|3",Guardias!$J$8:$J$67,0)),"")))</f>
        <v/>
      </c>
      <c r="H18" s="14">
        <f>IF($B18="","",IF(H28=0,IF($I18&gt;0,"Sin cubrir",""),IFERROR(INDEX(Guardias!$F$8:$F$67,MATCH(H$12&amp;"|"&amp;$B18&amp;"|1",Guardias!$J$8:$J$67,0)),"")&amp;IFERROR(", "&amp;INDEX(Guardias!$F$8:$F$67,MATCH(H$12&amp;"|"&amp;$B18&amp;"|2",Guardias!$J$8:$J$67,0)),"")&amp;IFERROR(", "&amp;INDEX(Guardias!$F$8:$F$67,MATCH(H$12&amp;"|"&amp;$B18&amp;"|3",Guardias!$J$8:$J$67,0)),"")))</f>
        <v/>
      </c>
      <c r="I18" s="13" t="n">
        <v>1</v>
      </c>
      <c r="J18" s="15">
        <f>IF(B18="","",SUMPRODUCT((D28:H28&lt;$I18)*($I18-D28:H28)))</f>
        <v/>
      </c>
    </row>
    <row r="19" ht="32" customHeight="1">
      <c r="B19" s="12" t="inlineStr">
        <is>
          <t>6ª hora</t>
        </is>
      </c>
      <c r="C19" s="13" t="n">
        <v>55</v>
      </c>
      <c r="D19" s="14">
        <f>IF($B19="","",IF(D29=0,IF($I19&gt;0,"Sin cubrir",""),IFERROR(INDEX(Guardias!$F$8:$F$67,MATCH(D$12&amp;"|"&amp;$B19&amp;"|1",Guardias!$J$8:$J$67,0)),"")&amp;IFERROR(", "&amp;INDEX(Guardias!$F$8:$F$67,MATCH(D$12&amp;"|"&amp;$B19&amp;"|2",Guardias!$J$8:$J$67,0)),"")&amp;IFERROR(", "&amp;INDEX(Guardias!$F$8:$F$67,MATCH(D$12&amp;"|"&amp;$B19&amp;"|3",Guardias!$J$8:$J$67,0)),"")))</f>
        <v/>
      </c>
      <c r="E19" s="14">
        <f>IF($B19="","",IF(E29=0,IF($I19&gt;0,"Sin cubrir",""),IFERROR(INDEX(Guardias!$F$8:$F$67,MATCH(E$12&amp;"|"&amp;$B19&amp;"|1",Guardias!$J$8:$J$67,0)),"")&amp;IFERROR(", "&amp;INDEX(Guardias!$F$8:$F$67,MATCH(E$12&amp;"|"&amp;$B19&amp;"|2",Guardias!$J$8:$J$67,0)),"")&amp;IFERROR(", "&amp;INDEX(Guardias!$F$8:$F$67,MATCH(E$12&amp;"|"&amp;$B19&amp;"|3",Guardias!$J$8:$J$67,0)),"")))</f>
        <v/>
      </c>
      <c r="F19" s="14">
        <f>IF($B19="","",IF(F29=0,IF($I19&gt;0,"Sin cubrir",""),IFERROR(INDEX(Guardias!$F$8:$F$67,MATCH(F$12&amp;"|"&amp;$B19&amp;"|1",Guardias!$J$8:$J$67,0)),"")&amp;IFERROR(", "&amp;INDEX(Guardias!$F$8:$F$67,MATCH(F$12&amp;"|"&amp;$B19&amp;"|2",Guardias!$J$8:$J$67,0)),"")&amp;IFERROR(", "&amp;INDEX(Guardias!$F$8:$F$67,MATCH(F$12&amp;"|"&amp;$B19&amp;"|3",Guardias!$J$8:$J$67,0)),"")))</f>
        <v/>
      </c>
      <c r="G19" s="14">
        <f>IF($B19="","",IF(G29=0,IF($I19&gt;0,"Sin cubrir",""),IFERROR(INDEX(Guardias!$F$8:$F$67,MATCH(G$12&amp;"|"&amp;$B19&amp;"|1",Guardias!$J$8:$J$67,0)),"")&amp;IFERROR(", "&amp;INDEX(Guardias!$F$8:$F$67,MATCH(G$12&amp;"|"&amp;$B19&amp;"|2",Guardias!$J$8:$J$67,0)),"")&amp;IFERROR(", "&amp;INDEX(Guardias!$F$8:$F$67,MATCH(G$12&amp;"|"&amp;$B19&amp;"|3",Guardias!$J$8:$J$67,0)),"")))</f>
        <v/>
      </c>
      <c r="H19" s="14">
        <f>IF($B19="","",IF(H29=0,IF($I19&gt;0,"Sin cubrir",""),IFERROR(INDEX(Guardias!$F$8:$F$67,MATCH(H$12&amp;"|"&amp;$B19&amp;"|1",Guardias!$J$8:$J$67,0)),"")&amp;IFERROR(", "&amp;INDEX(Guardias!$F$8:$F$67,MATCH(H$12&amp;"|"&amp;$B19&amp;"|2",Guardias!$J$8:$J$67,0)),"")&amp;IFERROR(", "&amp;INDEX(Guardias!$F$8:$F$67,MATCH(H$12&amp;"|"&amp;$B19&amp;"|3",Guardias!$J$8:$J$67,0)),"")))</f>
        <v/>
      </c>
      <c r="I19" s="13" t="n">
        <v>1</v>
      </c>
      <c r="J19" s="15">
        <f>IF(B19="","",SUMPRODUCT((D29:H29&lt;$I19)*($I19-D29:H29)))</f>
        <v/>
      </c>
    </row>
    <row r="20">
      <c r="B20" s="16" t="inlineStr">
        <is>
          <t>Si una franja admite más de 3 guardias a la vez, el cuadrante muestra los 3 primeros nombres; el recuento de abajo sigue contándolas todas.</t>
        </is>
      </c>
    </row>
    <row r="21">
      <c r="B21" s="10" t="inlineStr">
        <is>
          <t>GUARDIAS ASIGNADAS POR FRANJA Y DÍA  (rojo = faltan, verde = cubierto, ámbar = más de las necesarias)</t>
        </is>
      </c>
    </row>
    <row r="22" ht="26" customHeight="1">
      <c r="B22" s="11" t="inlineStr">
        <is>
          <t>Franja</t>
        </is>
      </c>
      <c r="C22" s="11" t="inlineStr">
        <is>
          <t>Minutos</t>
        </is>
      </c>
      <c r="D22" s="11">
        <f>D12</f>
        <v/>
      </c>
      <c r="E22" s="11">
        <f>E12</f>
        <v/>
      </c>
      <c r="F22" s="11">
        <f>F12</f>
        <v/>
      </c>
      <c r="G22" s="11">
        <f>G12</f>
        <v/>
      </c>
      <c r="H22" s="11">
        <f>H12</f>
        <v/>
      </c>
      <c r="I22" s="11" t="inlineStr">
        <is>
          <t>Total semana</t>
        </is>
      </c>
    </row>
    <row r="23">
      <c r="B23" s="17">
        <f>IF(B13="","",B13)</f>
        <v/>
      </c>
      <c r="C23" s="18">
        <f>IF(B13="","",C13)</f>
        <v/>
      </c>
      <c r="D23" s="18">
        <f>IF($B23="","",COUNTIFS(Guardias!$B$8:$B$67,D$22,Guardias!$C$8:$C$67,$B23))</f>
        <v/>
      </c>
      <c r="E23" s="18">
        <f>IF($B23="","",COUNTIFS(Guardias!$B$8:$B$67,E$22,Guardias!$C$8:$C$67,$B23))</f>
        <v/>
      </c>
      <c r="F23" s="18">
        <f>IF($B23="","",COUNTIFS(Guardias!$B$8:$B$67,F$22,Guardias!$C$8:$C$67,$B23))</f>
        <v/>
      </c>
      <c r="G23" s="18">
        <f>IF($B23="","",COUNTIFS(Guardias!$B$8:$B$67,G$22,Guardias!$C$8:$C$67,$B23))</f>
        <v/>
      </c>
      <c r="H23" s="18">
        <f>IF($B23="","",COUNTIFS(Guardias!$B$8:$B$67,H$22,Guardias!$C$8:$C$67,$B23))</f>
        <v/>
      </c>
      <c r="I23" s="15">
        <f>IF(B23="","",SUM(D23:H23))</f>
        <v/>
      </c>
    </row>
    <row r="24">
      <c r="B24" s="17">
        <f>IF(B14="","",B14)</f>
        <v/>
      </c>
      <c r="C24" s="18">
        <f>IF(B14="","",C14)</f>
        <v/>
      </c>
      <c r="D24" s="18">
        <f>IF($B24="","",COUNTIFS(Guardias!$B$8:$B$67,D$22,Guardias!$C$8:$C$67,$B24))</f>
        <v/>
      </c>
      <c r="E24" s="18">
        <f>IF($B24="","",COUNTIFS(Guardias!$B$8:$B$67,E$22,Guardias!$C$8:$C$67,$B24))</f>
        <v/>
      </c>
      <c r="F24" s="18">
        <f>IF($B24="","",COUNTIFS(Guardias!$B$8:$B$67,F$22,Guardias!$C$8:$C$67,$B24))</f>
        <v/>
      </c>
      <c r="G24" s="18">
        <f>IF($B24="","",COUNTIFS(Guardias!$B$8:$B$67,G$22,Guardias!$C$8:$C$67,$B24))</f>
        <v/>
      </c>
      <c r="H24" s="18">
        <f>IF($B24="","",COUNTIFS(Guardias!$B$8:$B$67,H$22,Guardias!$C$8:$C$67,$B24))</f>
        <v/>
      </c>
      <c r="I24" s="15">
        <f>IF(B24="","",SUM(D24:H24))</f>
        <v/>
      </c>
    </row>
    <row r="25">
      <c r="B25" s="17">
        <f>IF(B15="","",B15)</f>
        <v/>
      </c>
      <c r="C25" s="18">
        <f>IF(B15="","",C15)</f>
        <v/>
      </c>
      <c r="D25" s="18">
        <f>IF($B25="","",COUNTIFS(Guardias!$B$8:$B$67,D$22,Guardias!$C$8:$C$67,$B25))</f>
        <v/>
      </c>
      <c r="E25" s="18">
        <f>IF($B25="","",COUNTIFS(Guardias!$B$8:$B$67,E$22,Guardias!$C$8:$C$67,$B25))</f>
        <v/>
      </c>
      <c r="F25" s="18">
        <f>IF($B25="","",COUNTIFS(Guardias!$B$8:$B$67,F$22,Guardias!$C$8:$C$67,$B25))</f>
        <v/>
      </c>
      <c r="G25" s="18">
        <f>IF($B25="","",COUNTIFS(Guardias!$B$8:$B$67,G$22,Guardias!$C$8:$C$67,$B25))</f>
        <v/>
      </c>
      <c r="H25" s="18">
        <f>IF($B25="","",COUNTIFS(Guardias!$B$8:$B$67,H$22,Guardias!$C$8:$C$67,$B25))</f>
        <v/>
      </c>
      <c r="I25" s="15">
        <f>IF(B25="","",SUM(D25:H25))</f>
        <v/>
      </c>
    </row>
    <row r="26">
      <c r="B26" s="17">
        <f>IF(B16="","",B16)</f>
        <v/>
      </c>
      <c r="C26" s="18">
        <f>IF(B16="","",C16)</f>
        <v/>
      </c>
      <c r="D26" s="18">
        <f>IF($B26="","",COUNTIFS(Guardias!$B$8:$B$67,D$22,Guardias!$C$8:$C$67,$B26))</f>
        <v/>
      </c>
      <c r="E26" s="18">
        <f>IF($B26="","",COUNTIFS(Guardias!$B$8:$B$67,E$22,Guardias!$C$8:$C$67,$B26))</f>
        <v/>
      </c>
      <c r="F26" s="18">
        <f>IF($B26="","",COUNTIFS(Guardias!$B$8:$B$67,F$22,Guardias!$C$8:$C$67,$B26))</f>
        <v/>
      </c>
      <c r="G26" s="18">
        <f>IF($B26="","",COUNTIFS(Guardias!$B$8:$B$67,G$22,Guardias!$C$8:$C$67,$B26))</f>
        <v/>
      </c>
      <c r="H26" s="18">
        <f>IF($B26="","",COUNTIFS(Guardias!$B$8:$B$67,H$22,Guardias!$C$8:$C$67,$B26))</f>
        <v/>
      </c>
      <c r="I26" s="15">
        <f>IF(B26="","",SUM(D26:H26))</f>
        <v/>
      </c>
    </row>
    <row r="27">
      <c r="B27" s="17">
        <f>IF(B17="","",B17)</f>
        <v/>
      </c>
      <c r="C27" s="18">
        <f>IF(B17="","",C17)</f>
        <v/>
      </c>
      <c r="D27" s="18">
        <f>IF($B27="","",COUNTIFS(Guardias!$B$8:$B$67,D$22,Guardias!$C$8:$C$67,$B27))</f>
        <v/>
      </c>
      <c r="E27" s="18">
        <f>IF($B27="","",COUNTIFS(Guardias!$B$8:$B$67,E$22,Guardias!$C$8:$C$67,$B27))</f>
        <v/>
      </c>
      <c r="F27" s="18">
        <f>IF($B27="","",COUNTIFS(Guardias!$B$8:$B$67,F$22,Guardias!$C$8:$C$67,$B27))</f>
        <v/>
      </c>
      <c r="G27" s="18">
        <f>IF($B27="","",COUNTIFS(Guardias!$B$8:$B$67,G$22,Guardias!$C$8:$C$67,$B27))</f>
        <v/>
      </c>
      <c r="H27" s="18">
        <f>IF($B27="","",COUNTIFS(Guardias!$B$8:$B$67,H$22,Guardias!$C$8:$C$67,$B27))</f>
        <v/>
      </c>
      <c r="I27" s="15">
        <f>IF(B27="","",SUM(D27:H27))</f>
        <v/>
      </c>
    </row>
    <row r="28">
      <c r="B28" s="17">
        <f>IF(B18="","",B18)</f>
        <v/>
      </c>
      <c r="C28" s="18">
        <f>IF(B18="","",C18)</f>
        <v/>
      </c>
      <c r="D28" s="18">
        <f>IF($B28="","",COUNTIFS(Guardias!$B$8:$B$67,D$22,Guardias!$C$8:$C$67,$B28))</f>
        <v/>
      </c>
      <c r="E28" s="18">
        <f>IF($B28="","",COUNTIFS(Guardias!$B$8:$B$67,E$22,Guardias!$C$8:$C$67,$B28))</f>
        <v/>
      </c>
      <c r="F28" s="18">
        <f>IF($B28="","",COUNTIFS(Guardias!$B$8:$B$67,F$22,Guardias!$C$8:$C$67,$B28))</f>
        <v/>
      </c>
      <c r="G28" s="18">
        <f>IF($B28="","",COUNTIFS(Guardias!$B$8:$B$67,G$22,Guardias!$C$8:$C$67,$B28))</f>
        <v/>
      </c>
      <c r="H28" s="18">
        <f>IF($B28="","",COUNTIFS(Guardias!$B$8:$B$67,H$22,Guardias!$C$8:$C$67,$B28))</f>
        <v/>
      </c>
      <c r="I28" s="15">
        <f>IF(B28="","",SUM(D28:H28))</f>
        <v/>
      </c>
    </row>
    <row r="29">
      <c r="B29" s="17">
        <f>IF(B19="","",B19)</f>
        <v/>
      </c>
      <c r="C29" s="18">
        <f>IF(B19="","",C19)</f>
        <v/>
      </c>
      <c r="D29" s="18">
        <f>IF($B29="","",COUNTIFS(Guardias!$B$8:$B$67,D$22,Guardias!$C$8:$C$67,$B29))</f>
        <v/>
      </c>
      <c r="E29" s="18">
        <f>IF($B29="","",COUNTIFS(Guardias!$B$8:$B$67,E$22,Guardias!$C$8:$C$67,$B29))</f>
        <v/>
      </c>
      <c r="F29" s="18">
        <f>IF($B29="","",COUNTIFS(Guardias!$B$8:$B$67,F$22,Guardias!$C$8:$C$67,$B29))</f>
        <v/>
      </c>
      <c r="G29" s="18">
        <f>IF($B29="","",COUNTIFS(Guardias!$B$8:$B$67,G$22,Guardias!$C$8:$C$67,$B29))</f>
        <v/>
      </c>
      <c r="H29" s="18">
        <f>IF($B29="","",COUNTIFS(Guardias!$B$8:$B$67,H$22,Guardias!$C$8:$C$67,$B29))</f>
        <v/>
      </c>
      <c r="I29" s="15">
        <f>IF(B29="","",SUM(D29:H29))</f>
        <v/>
      </c>
    </row>
    <row r="30">
      <c r="B30" s="19" t="inlineStr">
        <is>
          <t>Total</t>
        </is>
      </c>
      <c r="C30" s="19" t="inlineStr"/>
      <c r="D30" s="20">
        <f>SUM(D23:D29)</f>
        <v/>
      </c>
      <c r="E30" s="20">
        <f>SUM(E23:E29)</f>
        <v/>
      </c>
      <c r="F30" s="20">
        <f>SUM(F23:F29)</f>
        <v/>
      </c>
      <c r="G30" s="20">
        <f>SUM(G23:G29)</f>
        <v/>
      </c>
      <c r="H30" s="20">
        <f>SUM(H23:H29)</f>
        <v/>
      </c>
      <c r="I30" s="20">
        <f>SUM(I23:I29)</f>
        <v/>
      </c>
    </row>
    <row r="32">
      <c r="B32" s="10" t="inlineStr">
        <is>
          <t>CARGA POR DÍA</t>
        </is>
      </c>
      <c r="G32" s="10" t="inlineStr">
        <is>
          <t>SUSTITUCIONES POR MOTIVO</t>
        </is>
      </c>
    </row>
    <row r="33" ht="24" customHeight="1">
      <c r="B33" s="11" t="inlineStr">
        <is>
          <t>Día</t>
        </is>
      </c>
      <c r="C33" s="11" t="inlineStr">
        <is>
          <t>Guardias</t>
        </is>
      </c>
      <c r="D33" s="11" t="inlineStr">
        <is>
          <t>Minutos</t>
        </is>
      </c>
      <c r="E33" s="11" t="inlineStr">
        <is>
          <t>Sustituciones</t>
        </is>
      </c>
      <c r="G33" s="11" t="inlineStr">
        <is>
          <t>Motivo</t>
        </is>
      </c>
      <c r="H33" s="11" t="inlineStr">
        <is>
          <t>Nº</t>
        </is>
      </c>
    </row>
    <row r="34">
      <c r="B34" s="17">
        <f>D12</f>
        <v/>
      </c>
      <c r="C34" s="18">
        <f>COUNTIF(Guardias!$B$8:$B$67,B34)</f>
        <v/>
      </c>
      <c r="D34" s="21">
        <f>SUMIF(Guardias!$B$8:$B$67,B34,Guardias!$H$8:$H$67)</f>
        <v/>
      </c>
      <c r="E34" s="18">
        <f>COUNTIF(Sustituciones!$C$8:$C$37,B34)</f>
        <v/>
      </c>
      <c r="G34" s="17">
        <f>Listas!C2</f>
        <v/>
      </c>
      <c r="H34" s="18">
        <f>COUNTIF(Sustituciones!$G$8:$G$37,G34)</f>
        <v/>
      </c>
    </row>
    <row r="35">
      <c r="B35" s="17">
        <f>E12</f>
        <v/>
      </c>
      <c r="C35" s="18">
        <f>COUNTIF(Guardias!$B$8:$B$67,B35)</f>
        <v/>
      </c>
      <c r="D35" s="21">
        <f>SUMIF(Guardias!$B$8:$B$67,B35,Guardias!$H$8:$H$67)</f>
        <v/>
      </c>
      <c r="E35" s="18">
        <f>COUNTIF(Sustituciones!$C$8:$C$37,B35)</f>
        <v/>
      </c>
      <c r="G35" s="17">
        <f>Listas!C3</f>
        <v/>
      </c>
      <c r="H35" s="18">
        <f>COUNTIF(Sustituciones!$G$8:$G$37,G35)</f>
        <v/>
      </c>
    </row>
    <row r="36">
      <c r="B36" s="17">
        <f>F12</f>
        <v/>
      </c>
      <c r="C36" s="18">
        <f>COUNTIF(Guardias!$B$8:$B$67,B36)</f>
        <v/>
      </c>
      <c r="D36" s="21">
        <f>SUMIF(Guardias!$B$8:$B$67,B36,Guardias!$H$8:$H$67)</f>
        <v/>
      </c>
      <c r="E36" s="18">
        <f>COUNTIF(Sustituciones!$C$8:$C$37,B36)</f>
        <v/>
      </c>
      <c r="G36" s="17">
        <f>Listas!C4</f>
        <v/>
      </c>
      <c r="H36" s="18">
        <f>COUNTIF(Sustituciones!$G$8:$G$37,G36)</f>
        <v/>
      </c>
    </row>
    <row r="37">
      <c r="B37" s="17">
        <f>G12</f>
        <v/>
      </c>
      <c r="C37" s="18">
        <f>COUNTIF(Guardias!$B$8:$B$67,B37)</f>
        <v/>
      </c>
      <c r="D37" s="21">
        <f>SUMIF(Guardias!$B$8:$B$67,B37,Guardias!$H$8:$H$67)</f>
        <v/>
      </c>
      <c r="E37" s="18">
        <f>COUNTIF(Sustituciones!$C$8:$C$37,B37)</f>
        <v/>
      </c>
      <c r="G37" s="17">
        <f>Listas!C5</f>
        <v/>
      </c>
      <c r="H37" s="18">
        <f>COUNTIF(Sustituciones!$G$8:$G$37,G37)</f>
        <v/>
      </c>
    </row>
    <row r="38">
      <c r="B38" s="17">
        <f>H12</f>
        <v/>
      </c>
      <c r="C38" s="18">
        <f>COUNTIF(Guardias!$B$8:$B$67,B38)</f>
        <v/>
      </c>
      <c r="D38" s="21">
        <f>SUMIF(Guardias!$B$8:$B$67,B38,Guardias!$H$8:$H$67)</f>
        <v/>
      </c>
      <c r="E38" s="18">
        <f>COUNTIF(Sustituciones!$C$8:$C$37,B38)</f>
        <v/>
      </c>
      <c r="G38" s="17">
        <f>Listas!C6</f>
        <v/>
      </c>
      <c r="H38" s="18">
        <f>COUNTIF(Sustituciones!$G$8:$G$37,G38)</f>
        <v/>
      </c>
    </row>
    <row r="40">
      <c r="B40" s="10" t="inlineStr">
        <is>
          <t>LOS 5 DOCENTES CON MÁS CARGA (guardias + sustituciones)</t>
        </is>
      </c>
    </row>
    <row r="41" ht="24" customHeight="1">
      <c r="B41" s="11" t="inlineStr">
        <is>
          <t>Docente</t>
        </is>
      </c>
      <c r="C41" s="11" t="inlineStr">
        <is>
          <t>Guardias</t>
        </is>
      </c>
      <c r="D41" s="11" t="inlineStr">
        <is>
          <t>Sustituciones</t>
        </is>
      </c>
      <c r="E41" s="11" t="inlineStr">
        <is>
          <t>Carga total</t>
        </is>
      </c>
      <c r="F41" s="11" t="inlineStr">
        <is>
          <t>Estado</t>
        </is>
      </c>
    </row>
    <row r="42">
      <c r="B42" s="17">
        <f>IFERROR(INDEX(Profesorado!$B$8:$B$27,MATCH(LARGE(Profesorado!$K$8:$K$27,1),Profesorado!$K$8:$K$27,0)),"")</f>
        <v/>
      </c>
      <c r="C42" s="18">
        <f>IFERROR(INDEX(Profesorado!$E$8:$E$27,MATCH(LARGE(Profesorado!$K$8:$K$27,1),Profesorado!$K$8:$K$27,0)),"")</f>
        <v/>
      </c>
      <c r="D42" s="18">
        <f>IFERROR(INDEX(Profesorado!$G$8:$G$27,MATCH(LARGE(Profesorado!$K$8:$K$27,1),Profesorado!$K$8:$K$27,0)),"")</f>
        <v/>
      </c>
      <c r="E42" s="15">
        <f>IFERROR(INDEX(Profesorado!$H$8:$H$27,MATCH(LARGE(Profesorado!$K$8:$K$27,1),Profesorado!$K$8:$K$27,0)),"")</f>
        <v/>
      </c>
      <c r="F42" s="22">
        <f>IFERROR(INDEX(Profesorado!$J$8:$J$27,MATCH(LARGE(Profesorado!$K$8:$K$27,1),Profesorado!$K$8:$K$27,0)),"")</f>
        <v/>
      </c>
    </row>
    <row r="43">
      <c r="B43" s="17">
        <f>IFERROR(INDEX(Profesorado!$B$8:$B$27,MATCH(LARGE(Profesorado!$K$8:$K$27,2),Profesorado!$K$8:$K$27,0)),"")</f>
        <v/>
      </c>
      <c r="C43" s="18">
        <f>IFERROR(INDEX(Profesorado!$E$8:$E$27,MATCH(LARGE(Profesorado!$K$8:$K$27,2),Profesorado!$K$8:$K$27,0)),"")</f>
        <v/>
      </c>
      <c r="D43" s="18">
        <f>IFERROR(INDEX(Profesorado!$G$8:$G$27,MATCH(LARGE(Profesorado!$K$8:$K$27,2),Profesorado!$K$8:$K$27,0)),"")</f>
        <v/>
      </c>
      <c r="E43" s="15">
        <f>IFERROR(INDEX(Profesorado!$H$8:$H$27,MATCH(LARGE(Profesorado!$K$8:$K$27,2),Profesorado!$K$8:$K$27,0)),"")</f>
        <v/>
      </c>
      <c r="F43" s="22">
        <f>IFERROR(INDEX(Profesorado!$J$8:$J$27,MATCH(LARGE(Profesorado!$K$8:$K$27,2),Profesorado!$K$8:$K$27,0)),"")</f>
        <v/>
      </c>
    </row>
    <row r="44">
      <c r="B44" s="17">
        <f>IFERROR(INDEX(Profesorado!$B$8:$B$27,MATCH(LARGE(Profesorado!$K$8:$K$27,3),Profesorado!$K$8:$K$27,0)),"")</f>
        <v/>
      </c>
      <c r="C44" s="18">
        <f>IFERROR(INDEX(Profesorado!$E$8:$E$27,MATCH(LARGE(Profesorado!$K$8:$K$27,3),Profesorado!$K$8:$K$27,0)),"")</f>
        <v/>
      </c>
      <c r="D44" s="18">
        <f>IFERROR(INDEX(Profesorado!$G$8:$G$27,MATCH(LARGE(Profesorado!$K$8:$K$27,3),Profesorado!$K$8:$K$27,0)),"")</f>
        <v/>
      </c>
      <c r="E44" s="15">
        <f>IFERROR(INDEX(Profesorado!$H$8:$H$27,MATCH(LARGE(Profesorado!$K$8:$K$27,3),Profesorado!$K$8:$K$27,0)),"")</f>
        <v/>
      </c>
      <c r="F44" s="22">
        <f>IFERROR(INDEX(Profesorado!$J$8:$J$27,MATCH(LARGE(Profesorado!$K$8:$K$27,3),Profesorado!$K$8:$K$27,0)),"")</f>
        <v/>
      </c>
    </row>
    <row r="45">
      <c r="B45" s="17">
        <f>IFERROR(INDEX(Profesorado!$B$8:$B$27,MATCH(LARGE(Profesorado!$K$8:$K$27,4),Profesorado!$K$8:$K$27,0)),"")</f>
        <v/>
      </c>
      <c r="C45" s="18">
        <f>IFERROR(INDEX(Profesorado!$E$8:$E$27,MATCH(LARGE(Profesorado!$K$8:$K$27,4),Profesorado!$K$8:$K$27,0)),"")</f>
        <v/>
      </c>
      <c r="D45" s="18">
        <f>IFERROR(INDEX(Profesorado!$G$8:$G$27,MATCH(LARGE(Profesorado!$K$8:$K$27,4),Profesorado!$K$8:$K$27,0)),"")</f>
        <v/>
      </c>
      <c r="E45" s="15">
        <f>IFERROR(INDEX(Profesorado!$H$8:$H$27,MATCH(LARGE(Profesorado!$K$8:$K$27,4),Profesorado!$K$8:$K$27,0)),"")</f>
        <v/>
      </c>
      <c r="F45" s="22">
        <f>IFERROR(INDEX(Profesorado!$J$8:$J$27,MATCH(LARGE(Profesorado!$K$8:$K$27,4),Profesorado!$K$8:$K$27,0)),"")</f>
        <v/>
      </c>
    </row>
    <row r="46">
      <c r="B46" s="17">
        <f>IFERROR(INDEX(Profesorado!$B$8:$B$27,MATCH(LARGE(Profesorado!$K$8:$K$27,5),Profesorado!$K$8:$K$27,0)),"")</f>
        <v/>
      </c>
      <c r="C46" s="18">
        <f>IFERROR(INDEX(Profesorado!$E$8:$E$27,MATCH(LARGE(Profesorado!$K$8:$K$27,5),Profesorado!$K$8:$K$27,0)),"")</f>
        <v/>
      </c>
      <c r="D46" s="18">
        <f>IFERROR(INDEX(Profesorado!$G$8:$G$27,MATCH(LARGE(Profesorado!$K$8:$K$27,5),Profesorado!$K$8:$K$27,0)),"")</f>
        <v/>
      </c>
      <c r="E46" s="15">
        <f>IFERROR(INDEX(Profesorado!$H$8:$H$27,MATCH(LARGE(Profesorado!$K$8:$K$27,5),Profesorado!$K$8:$K$27,0)),"")</f>
        <v/>
      </c>
      <c r="F46" s="22">
        <f>IFERROR(INDEX(Profesorado!$J$8:$J$27,MATCH(LARGE(Profesorado!$K$8:$K$27,5),Profesorado!$K$8:$K$27,0)),"")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0">
    <mergeCell ref="B6:C6"/>
    <mergeCell ref="B3:J3"/>
    <mergeCell ref="B5:C5"/>
    <mergeCell ref="H5:J5"/>
    <mergeCell ref="H8:J8"/>
    <mergeCell ref="H9:J9"/>
    <mergeCell ref="B9:C9"/>
    <mergeCell ref="B8:C8"/>
    <mergeCell ref="B2:J2"/>
    <mergeCell ref="H6:J6"/>
  </mergeCells>
  <conditionalFormatting sqref="D13:H19">
    <cfRule type="expression" priority="1" dxfId="0">
      <formula>AND($B13&lt;&gt;"",D23&lt;$I13)</formula>
    </cfRule>
    <cfRule type="expression" priority="2" dxfId="1">
      <formula>AND($B13&lt;&gt;"",$I13&gt;0,D23&gt;=$I13)</formula>
    </cfRule>
  </conditionalFormatting>
  <conditionalFormatting sqref="D23:H29">
    <cfRule type="expression" priority="3" dxfId="0">
      <formula>AND($B23&lt;&gt;"",D23&lt;$I13)</formula>
    </cfRule>
    <cfRule type="expression" priority="4" dxfId="1">
      <formula>AND($B23&lt;&gt;"",$I13&gt;0,D23=$I13)</formula>
    </cfRule>
    <cfRule type="expression" priority="5" dxfId="2">
      <formula>AND($B23&lt;&gt;"",D23&gt;$I13)</formula>
    </cfRule>
  </conditionalFormatting>
  <conditionalFormatting sqref="C34:C38">
    <cfRule type="dataBar" priority="6">
      <dataBar>
        <cfvo type="num" val="0"/>
        <cfvo type="max"/>
        <color rgb="0010B981"/>
      </dataBar>
    </cfRule>
  </conditionalFormatting>
  <conditionalFormatting sqref="H34:H38">
    <cfRule type="dataBar" priority="7">
      <dataBar>
        <cfvo type="num" val="0"/>
        <cfvo type="max"/>
        <color rgb="0034D399"/>
      </dataBar>
    </cfRule>
  </conditionalFormatting>
  <conditionalFormatting sqref="E42:E46">
    <cfRule type="dataBar" priority="8">
      <dataBar>
        <cfvo type="num" val="0"/>
        <cfvo type="max"/>
        <color rgb="0010B981"/>
      </dataBar>
    </cfRule>
  </conditionalFormatting>
  <conditionalFormatting sqref="F42:F46">
    <cfRule type="cellIs" priority="9" operator="equal" dxfId="0">
      <formula>"Excede máximo"</formula>
    </cfRule>
    <cfRule type="cellIs" priority="10" operator="equal" dxfId="2">
      <formula>"Sobrecargado"</formula>
    </cfRule>
    <cfRule type="cellIs" priority="11" operator="equal" dxfId="3">
      <formula>"Disponible"</formula>
    </cfRule>
    <cfRule type="cellIs" priority="12" operator="equal" dxfId="1">
      <formula>"Equilibrado"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K3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22" customWidth="1" min="3" max="3"/>
    <col width="11" customWidth="1" min="4" max="4"/>
    <col width="12" customWidth="1" min="5" max="5"/>
    <col width="13" customWidth="1" min="6" max="6"/>
    <col width="14" customWidth="1" min="7" max="7"/>
    <col width="11" customWidth="1" min="8" max="8"/>
    <col width="12" customWidth="1" min="9" max="9"/>
    <col width="16" customWidth="1" min="10" max="10"/>
    <col hidden="1" width="12" customWidth="1" min="11" max="11"/>
  </cols>
  <sheetData>
    <row r="2" ht="34" customHeight="1">
      <c r="B2" s="1" t="inlineStr">
        <is>
          <t>Profesorado y equilibrio de carga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Lista tu claustro (hasta 20 docentes). La hoja cuenta guardias y sustituciones de cada uno y detecta quién está sobrecargado.</t>
        </is>
      </c>
    </row>
    <row r="5">
      <c r="B5" s="23" t="inlineStr">
        <is>
          <t>Tolerancia sobre la media:</t>
        </is>
      </c>
      <c r="C5" s="24" t="n">
        <v>0.2</v>
      </c>
      <c r="D5" s="16" t="inlineStr">
        <is>
          <t>(a partir de ese margen sobre/bajo la media de carga se marca «Sobrecargado» o «Disponible»)</t>
        </is>
      </c>
    </row>
    <row r="6">
      <c r="B6" s="23" t="inlineStr">
        <is>
          <t>Máximo de guardias por semana:</t>
        </is>
      </c>
      <c r="C6" s="13" t="n">
        <v>4</v>
      </c>
      <c r="D6" s="16" t="inlineStr">
        <is>
          <t>(parámetro editable: ajústalo a lo que fije el reglamento de tu centro)</t>
        </is>
      </c>
    </row>
    <row r="7" ht="34" customHeight="1">
      <c r="B7" s="11" t="inlineStr">
        <is>
          <t>Docente</t>
        </is>
      </c>
      <c r="C7" s="11" t="inlineStr">
        <is>
          <t>Departamento</t>
        </is>
      </c>
      <c r="D7" s="11" t="inlineStr">
        <is>
          <t>Horas lectivas / sem.</t>
        </is>
      </c>
      <c r="E7" s="11" t="inlineStr">
        <is>
          <t>Guardias / semana</t>
        </is>
      </c>
      <c r="F7" s="11" t="inlineStr">
        <is>
          <t>Minutos de guardia</t>
        </is>
      </c>
      <c r="G7" s="11" t="inlineStr">
        <is>
          <t>Sustituciones hechas</t>
        </is>
      </c>
      <c r="H7" s="11" t="inlineStr">
        <is>
          <t>Carga total</t>
        </is>
      </c>
      <c r="I7" s="11" t="inlineStr">
        <is>
          <t>Desv. vs media</t>
        </is>
      </c>
      <c r="J7" s="11" t="inlineStr">
        <is>
          <t>Estado</t>
        </is>
      </c>
      <c r="K7" s="25" t="inlineStr">
        <is>
          <t>Clave (aux.)</t>
        </is>
      </c>
    </row>
    <row r="8">
      <c r="B8" s="12" t="inlineStr">
        <is>
          <t>Ana Martín</t>
        </is>
      </c>
      <c r="C8" s="12" t="inlineStr">
        <is>
          <t>Matemáticas</t>
        </is>
      </c>
      <c r="D8" s="13" t="n">
        <v>18</v>
      </c>
      <c r="E8" s="15">
        <f>IF(B8="","",COUNTIF(Guardias!$F$8:$F$67,B8))</f>
        <v/>
      </c>
      <c r="F8" s="18">
        <f>IF(B8="","",SUMIF(Guardias!$F$8:$F$67,B8,Guardias!$H$8:$H$67))</f>
        <v/>
      </c>
      <c r="G8" s="18">
        <f>IF(B8="","",COUNTIF(Sustituciones!$H$8:$H$37,B8))</f>
        <v/>
      </c>
      <c r="H8" s="15">
        <f>IF(B8="","",E8+G8)</f>
        <v/>
      </c>
      <c r="I8" s="26">
        <f>IF(B8="","",H8-$H$29)</f>
        <v/>
      </c>
      <c r="J8" s="22">
        <f>IF(B8="","",IF(E8&gt;$C$6,"Excede máximo",IF(H8&gt;$H$29*(1+$C$5),"Sobrecargado",IF(H8&lt;$H$29*(1-$C$5),"Disponible","Equilibrado"))))</f>
        <v/>
      </c>
      <c r="K8" s="27">
        <f>IF(B8="","",H8+F8/100000+ROW()/100000000)</f>
        <v/>
      </c>
    </row>
    <row r="9">
      <c r="B9" s="12" t="inlineStr">
        <is>
          <t>Luis Gómez</t>
        </is>
      </c>
      <c r="C9" s="12" t="inlineStr">
        <is>
          <t>Lengua</t>
        </is>
      </c>
      <c r="D9" s="13" t="n">
        <v>19</v>
      </c>
      <c r="E9" s="15">
        <f>IF(B9="","",COUNTIF(Guardias!$F$8:$F$67,B9))</f>
        <v/>
      </c>
      <c r="F9" s="18">
        <f>IF(B9="","",SUMIF(Guardias!$F$8:$F$67,B9,Guardias!$H$8:$H$67))</f>
        <v/>
      </c>
      <c r="G9" s="18">
        <f>IF(B9="","",COUNTIF(Sustituciones!$H$8:$H$37,B9))</f>
        <v/>
      </c>
      <c r="H9" s="15">
        <f>IF(B9="","",E9+G9)</f>
        <v/>
      </c>
      <c r="I9" s="26">
        <f>IF(B9="","",H9-$H$29)</f>
        <v/>
      </c>
      <c r="J9" s="22">
        <f>IF(B9="","",IF(E9&gt;$C$6,"Excede máximo",IF(H9&gt;$H$29*(1+$C$5),"Sobrecargado",IF(H9&lt;$H$29*(1-$C$5),"Disponible","Equilibrado"))))</f>
        <v/>
      </c>
      <c r="K9" s="27">
        <f>IF(B9="","",H9+F9/100000+ROW()/100000000)</f>
        <v/>
      </c>
    </row>
    <row r="10">
      <c r="B10" s="12" t="inlineStr">
        <is>
          <t>Marta Ruiz</t>
        </is>
      </c>
      <c r="C10" s="12" t="inlineStr">
        <is>
          <t>Inglés</t>
        </is>
      </c>
      <c r="D10" s="13" t="n">
        <v>20</v>
      </c>
      <c r="E10" s="15">
        <f>IF(B10="","",COUNTIF(Guardias!$F$8:$F$67,B10))</f>
        <v/>
      </c>
      <c r="F10" s="18">
        <f>IF(B10="","",SUMIF(Guardias!$F$8:$F$67,B10,Guardias!$H$8:$H$67))</f>
        <v/>
      </c>
      <c r="G10" s="18">
        <f>IF(B10="","",COUNTIF(Sustituciones!$H$8:$H$37,B10))</f>
        <v/>
      </c>
      <c r="H10" s="15">
        <f>IF(B10="","",E10+G10)</f>
        <v/>
      </c>
      <c r="I10" s="26">
        <f>IF(B10="","",H10-$H$29)</f>
        <v/>
      </c>
      <c r="J10" s="22">
        <f>IF(B10="","",IF(E10&gt;$C$6,"Excede máximo",IF(H10&gt;$H$29*(1+$C$5),"Sobrecargado",IF(H10&lt;$H$29*(1-$C$5),"Disponible","Equilibrado"))))</f>
        <v/>
      </c>
      <c r="K10" s="27">
        <f>IF(B10="","",H10+F10/100000+ROW()/100000000)</f>
        <v/>
      </c>
    </row>
    <row r="11">
      <c r="B11" s="12" t="inlineStr">
        <is>
          <t>Pablo Sanz</t>
        </is>
      </c>
      <c r="C11" s="12" t="inlineStr">
        <is>
          <t>Educación Física</t>
        </is>
      </c>
      <c r="D11" s="13" t="n">
        <v>21</v>
      </c>
      <c r="E11" s="15">
        <f>IF(B11="","",COUNTIF(Guardias!$F$8:$F$67,B11))</f>
        <v/>
      </c>
      <c r="F11" s="18">
        <f>IF(B11="","",SUMIF(Guardias!$F$8:$F$67,B11,Guardias!$H$8:$H$67))</f>
        <v/>
      </c>
      <c r="G11" s="18">
        <f>IF(B11="","",COUNTIF(Sustituciones!$H$8:$H$37,B11))</f>
        <v/>
      </c>
      <c r="H11" s="15">
        <f>IF(B11="","",E11+G11)</f>
        <v/>
      </c>
      <c r="I11" s="26">
        <f>IF(B11="","",H11-$H$29)</f>
        <v/>
      </c>
      <c r="J11" s="22">
        <f>IF(B11="","",IF(E11&gt;$C$6,"Excede máximo",IF(H11&gt;$H$29*(1+$C$5),"Sobrecargado",IF(H11&lt;$H$29*(1-$C$5),"Disponible","Equilibrado"))))</f>
        <v/>
      </c>
      <c r="K11" s="27">
        <f>IF(B11="","",H11+F11/100000+ROW()/100000000)</f>
        <v/>
      </c>
    </row>
    <row r="12">
      <c r="B12" s="12" t="inlineStr">
        <is>
          <t>Elena Torres</t>
        </is>
      </c>
      <c r="C12" s="12" t="inlineStr">
        <is>
          <t>Ciencias</t>
        </is>
      </c>
      <c r="D12" s="13" t="n">
        <v>18</v>
      </c>
      <c r="E12" s="15">
        <f>IF(B12="","",COUNTIF(Guardias!$F$8:$F$67,B12))</f>
        <v/>
      </c>
      <c r="F12" s="18">
        <f>IF(B12="","",SUMIF(Guardias!$F$8:$F$67,B12,Guardias!$H$8:$H$67))</f>
        <v/>
      </c>
      <c r="G12" s="18">
        <f>IF(B12="","",COUNTIF(Sustituciones!$H$8:$H$37,B12))</f>
        <v/>
      </c>
      <c r="H12" s="15">
        <f>IF(B12="","",E12+G12)</f>
        <v/>
      </c>
      <c r="I12" s="26">
        <f>IF(B12="","",H12-$H$29)</f>
        <v/>
      </c>
      <c r="J12" s="22">
        <f>IF(B12="","",IF(E12&gt;$C$6,"Excede máximo",IF(H12&gt;$H$29*(1+$C$5),"Sobrecargado",IF(H12&lt;$H$29*(1-$C$5),"Disponible","Equilibrado"))))</f>
        <v/>
      </c>
      <c r="K12" s="27">
        <f>IF(B12="","",H12+F12/100000+ROW()/100000000)</f>
        <v/>
      </c>
    </row>
    <row r="13">
      <c r="B13" s="12" t="inlineStr">
        <is>
          <t>Javier Díaz</t>
        </is>
      </c>
      <c r="C13" s="12" t="inlineStr">
        <is>
          <t>Geografía e Historia</t>
        </is>
      </c>
      <c r="D13" s="13" t="n">
        <v>19</v>
      </c>
      <c r="E13" s="15">
        <f>IF(B13="","",COUNTIF(Guardias!$F$8:$F$67,B13))</f>
        <v/>
      </c>
      <c r="F13" s="18">
        <f>IF(B13="","",SUMIF(Guardias!$F$8:$F$67,B13,Guardias!$H$8:$H$67))</f>
        <v/>
      </c>
      <c r="G13" s="18">
        <f>IF(B13="","",COUNTIF(Sustituciones!$H$8:$H$37,B13))</f>
        <v/>
      </c>
      <c r="H13" s="15">
        <f>IF(B13="","",E13+G13)</f>
        <v/>
      </c>
      <c r="I13" s="26">
        <f>IF(B13="","",H13-$H$29)</f>
        <v/>
      </c>
      <c r="J13" s="22">
        <f>IF(B13="","",IF(E13&gt;$C$6,"Excede máximo",IF(H13&gt;$H$29*(1+$C$5),"Sobrecargado",IF(H13&lt;$H$29*(1-$C$5),"Disponible","Equilibrado"))))</f>
        <v/>
      </c>
      <c r="K13" s="27">
        <f>IF(B13="","",H13+F13/100000+ROW()/100000000)</f>
        <v/>
      </c>
    </row>
    <row r="14">
      <c r="B14" s="12" t="inlineStr">
        <is>
          <t>Carmen Vidal</t>
        </is>
      </c>
      <c r="C14" s="12" t="inlineStr">
        <is>
          <t>Música</t>
        </is>
      </c>
      <c r="D14" s="13" t="n">
        <v>20</v>
      </c>
      <c r="E14" s="15">
        <f>IF(B14="","",COUNTIF(Guardias!$F$8:$F$67,B14))</f>
        <v/>
      </c>
      <c r="F14" s="18">
        <f>IF(B14="","",SUMIF(Guardias!$F$8:$F$67,B14,Guardias!$H$8:$H$67))</f>
        <v/>
      </c>
      <c r="G14" s="18">
        <f>IF(B14="","",COUNTIF(Sustituciones!$H$8:$H$37,B14))</f>
        <v/>
      </c>
      <c r="H14" s="15">
        <f>IF(B14="","",E14+G14)</f>
        <v/>
      </c>
      <c r="I14" s="26">
        <f>IF(B14="","",H14-$H$29)</f>
        <v/>
      </c>
      <c r="J14" s="22">
        <f>IF(B14="","",IF(E14&gt;$C$6,"Excede máximo",IF(H14&gt;$H$29*(1+$C$5),"Sobrecargado",IF(H14&lt;$H$29*(1-$C$5),"Disponible","Equilibrado"))))</f>
        <v/>
      </c>
      <c r="K14" s="27">
        <f>IF(B14="","",H14+F14/100000+ROW()/100000000)</f>
        <v/>
      </c>
    </row>
    <row r="15">
      <c r="B15" s="12" t="inlineStr">
        <is>
          <t>Raúl Ortega</t>
        </is>
      </c>
      <c r="C15" s="12" t="inlineStr">
        <is>
          <t>Tecnología</t>
        </is>
      </c>
      <c r="D15" s="13" t="n">
        <v>19</v>
      </c>
      <c r="E15" s="15">
        <f>IF(B15="","",COUNTIF(Guardias!$F$8:$F$67,B15))</f>
        <v/>
      </c>
      <c r="F15" s="18">
        <f>IF(B15="","",SUMIF(Guardias!$F$8:$F$67,B15,Guardias!$H$8:$H$67))</f>
        <v/>
      </c>
      <c r="G15" s="18">
        <f>IF(B15="","",COUNTIF(Sustituciones!$H$8:$H$37,B15))</f>
        <v/>
      </c>
      <c r="H15" s="15">
        <f>IF(B15="","",E15+G15)</f>
        <v/>
      </c>
      <c r="I15" s="26">
        <f>IF(B15="","",H15-$H$29)</f>
        <v/>
      </c>
      <c r="J15" s="22">
        <f>IF(B15="","",IF(E15&gt;$C$6,"Excede máximo",IF(H15&gt;$H$29*(1+$C$5),"Sobrecargado",IF(H15&lt;$H$29*(1-$C$5),"Disponible","Equilibrado"))))</f>
        <v/>
      </c>
      <c r="K15" s="27">
        <f>IF(B15="","",H15+F15/100000+ROW()/100000000)</f>
        <v/>
      </c>
    </row>
    <row r="16">
      <c r="B16" s="12" t="inlineStr">
        <is>
          <t>Sofía Navarro</t>
        </is>
      </c>
      <c r="C16" s="12" t="inlineStr">
        <is>
          <t>Francés</t>
        </is>
      </c>
      <c r="D16" s="13" t="n">
        <v>21</v>
      </c>
      <c r="E16" s="15">
        <f>IF(B16="","",COUNTIF(Guardias!$F$8:$F$67,B16))</f>
        <v/>
      </c>
      <c r="F16" s="18">
        <f>IF(B16="","",SUMIF(Guardias!$F$8:$F$67,B16,Guardias!$H$8:$H$67))</f>
        <v/>
      </c>
      <c r="G16" s="18">
        <f>IF(B16="","",COUNTIF(Sustituciones!$H$8:$H$37,B16))</f>
        <v/>
      </c>
      <c r="H16" s="15">
        <f>IF(B16="","",E16+G16)</f>
        <v/>
      </c>
      <c r="I16" s="26">
        <f>IF(B16="","",H16-$H$29)</f>
        <v/>
      </c>
      <c r="J16" s="22">
        <f>IF(B16="","",IF(E16&gt;$C$6,"Excede máximo",IF(H16&gt;$H$29*(1+$C$5),"Sobrecargado",IF(H16&lt;$H$29*(1-$C$5),"Disponible","Equilibrado"))))</f>
        <v/>
      </c>
      <c r="K16" s="27">
        <f>IF(B16="","",H16+F16/100000+ROW()/100000000)</f>
        <v/>
      </c>
    </row>
    <row r="17">
      <c r="B17" s="12" t="inlineStr">
        <is>
          <t>Daniel Cano</t>
        </is>
      </c>
      <c r="C17" s="12" t="inlineStr">
        <is>
          <t>Matemáticas</t>
        </is>
      </c>
      <c r="D17" s="13" t="n">
        <v>18</v>
      </c>
      <c r="E17" s="15">
        <f>IF(B17="","",COUNTIF(Guardias!$F$8:$F$67,B17))</f>
        <v/>
      </c>
      <c r="F17" s="18">
        <f>IF(B17="","",SUMIF(Guardias!$F$8:$F$67,B17,Guardias!$H$8:$H$67))</f>
        <v/>
      </c>
      <c r="G17" s="18">
        <f>IF(B17="","",COUNTIF(Sustituciones!$H$8:$H$37,B17))</f>
        <v/>
      </c>
      <c r="H17" s="15">
        <f>IF(B17="","",E17+G17)</f>
        <v/>
      </c>
      <c r="I17" s="26">
        <f>IF(B17="","",H17-$H$29)</f>
        <v/>
      </c>
      <c r="J17" s="22">
        <f>IF(B17="","",IF(E17&gt;$C$6,"Excede máximo",IF(H17&gt;$H$29*(1+$C$5),"Sobrecargado",IF(H17&lt;$H$29*(1-$C$5),"Disponible","Equilibrado"))))</f>
        <v/>
      </c>
      <c r="K17" s="27">
        <f>IF(B17="","",H17+F17/100000+ROW()/100000000)</f>
        <v/>
      </c>
    </row>
    <row r="18">
      <c r="B18" s="12" t="inlineStr">
        <is>
          <t>Irene Molina</t>
        </is>
      </c>
      <c r="C18" s="12" t="inlineStr">
        <is>
          <t>Lengua</t>
        </is>
      </c>
      <c r="D18" s="13" t="n">
        <v>20</v>
      </c>
      <c r="E18" s="15">
        <f>IF(B18="","",COUNTIF(Guardias!$F$8:$F$67,B18))</f>
        <v/>
      </c>
      <c r="F18" s="18">
        <f>IF(B18="","",SUMIF(Guardias!$F$8:$F$67,B18,Guardias!$H$8:$H$67))</f>
        <v/>
      </c>
      <c r="G18" s="18">
        <f>IF(B18="","",COUNTIF(Sustituciones!$H$8:$H$37,B18))</f>
        <v/>
      </c>
      <c r="H18" s="15">
        <f>IF(B18="","",E18+G18)</f>
        <v/>
      </c>
      <c r="I18" s="26">
        <f>IF(B18="","",H18-$H$29)</f>
        <v/>
      </c>
      <c r="J18" s="22">
        <f>IF(B18="","",IF(E18&gt;$C$6,"Excede máximo",IF(H18&gt;$H$29*(1+$C$5),"Sobrecargado",IF(H18&lt;$H$29*(1-$C$5),"Disponible","Equilibrado"))))</f>
        <v/>
      </c>
      <c r="K18" s="27">
        <f>IF(B18="","",H18+F18/100000+ROW()/100000000)</f>
        <v/>
      </c>
    </row>
    <row r="19">
      <c r="B19" s="12" t="inlineStr">
        <is>
          <t>Hugo Blanco</t>
        </is>
      </c>
      <c r="C19" s="12" t="inlineStr">
        <is>
          <t>Plástica</t>
        </is>
      </c>
      <c r="D19" s="13" t="n">
        <v>21</v>
      </c>
      <c r="E19" s="15">
        <f>IF(B19="","",COUNTIF(Guardias!$F$8:$F$67,B19))</f>
        <v/>
      </c>
      <c r="F19" s="18">
        <f>IF(B19="","",SUMIF(Guardias!$F$8:$F$67,B19,Guardias!$H$8:$H$67))</f>
        <v/>
      </c>
      <c r="G19" s="18">
        <f>IF(B19="","",COUNTIF(Sustituciones!$H$8:$H$37,B19))</f>
        <v/>
      </c>
      <c r="H19" s="15">
        <f>IF(B19="","",E19+G19)</f>
        <v/>
      </c>
      <c r="I19" s="26">
        <f>IF(B19="","",H19-$H$29)</f>
        <v/>
      </c>
      <c r="J19" s="22">
        <f>IF(B19="","",IF(E19&gt;$C$6,"Excede máximo",IF(H19&gt;$H$29*(1+$C$5),"Sobrecargado",IF(H19&lt;$H$29*(1-$C$5),"Disponible","Equilibrado"))))</f>
        <v/>
      </c>
      <c r="K19" s="27">
        <f>IF(B19="","",H19+F19/100000+ROW()/100000000)</f>
        <v/>
      </c>
    </row>
    <row r="20">
      <c r="B20" s="12" t="n"/>
      <c r="C20" s="12" t="n"/>
      <c r="D20" s="13" t="n"/>
      <c r="E20" s="15">
        <f>IF(B20="","",COUNTIF(Guardias!$F$8:$F$67,B20))</f>
        <v/>
      </c>
      <c r="F20" s="18">
        <f>IF(B20="","",SUMIF(Guardias!$F$8:$F$67,B20,Guardias!$H$8:$H$67))</f>
        <v/>
      </c>
      <c r="G20" s="18">
        <f>IF(B20="","",COUNTIF(Sustituciones!$H$8:$H$37,B20))</f>
        <v/>
      </c>
      <c r="H20" s="15">
        <f>IF(B20="","",E20+G20)</f>
        <v/>
      </c>
      <c r="I20" s="26">
        <f>IF(B20="","",H20-$H$29)</f>
        <v/>
      </c>
      <c r="J20" s="22">
        <f>IF(B20="","",IF(E20&gt;$C$6,"Excede máximo",IF(H20&gt;$H$29*(1+$C$5),"Sobrecargado",IF(H20&lt;$H$29*(1-$C$5),"Disponible","Equilibrado"))))</f>
        <v/>
      </c>
      <c r="K20" s="27">
        <f>IF(B20="","",H20+F20/100000+ROW()/100000000)</f>
        <v/>
      </c>
    </row>
    <row r="21">
      <c r="B21" s="12" t="n"/>
      <c r="C21" s="12" t="n"/>
      <c r="D21" s="13" t="n"/>
      <c r="E21" s="15">
        <f>IF(B21="","",COUNTIF(Guardias!$F$8:$F$67,B21))</f>
        <v/>
      </c>
      <c r="F21" s="18">
        <f>IF(B21="","",SUMIF(Guardias!$F$8:$F$67,B21,Guardias!$H$8:$H$67))</f>
        <v/>
      </c>
      <c r="G21" s="18">
        <f>IF(B21="","",COUNTIF(Sustituciones!$H$8:$H$37,B21))</f>
        <v/>
      </c>
      <c r="H21" s="15">
        <f>IF(B21="","",E21+G21)</f>
        <v/>
      </c>
      <c r="I21" s="26">
        <f>IF(B21="","",H21-$H$29)</f>
        <v/>
      </c>
      <c r="J21" s="22">
        <f>IF(B21="","",IF(E21&gt;$C$6,"Excede máximo",IF(H21&gt;$H$29*(1+$C$5),"Sobrecargado",IF(H21&lt;$H$29*(1-$C$5),"Disponible","Equilibrado"))))</f>
        <v/>
      </c>
      <c r="K21" s="27">
        <f>IF(B21="","",H21+F21/100000+ROW()/100000000)</f>
        <v/>
      </c>
    </row>
    <row r="22">
      <c r="B22" s="12" t="n"/>
      <c r="C22" s="12" t="n"/>
      <c r="D22" s="13" t="n"/>
      <c r="E22" s="15">
        <f>IF(B22="","",COUNTIF(Guardias!$F$8:$F$67,B22))</f>
        <v/>
      </c>
      <c r="F22" s="18">
        <f>IF(B22="","",SUMIF(Guardias!$F$8:$F$67,B22,Guardias!$H$8:$H$67))</f>
        <v/>
      </c>
      <c r="G22" s="18">
        <f>IF(B22="","",COUNTIF(Sustituciones!$H$8:$H$37,B22))</f>
        <v/>
      </c>
      <c r="H22" s="15">
        <f>IF(B22="","",E22+G22)</f>
        <v/>
      </c>
      <c r="I22" s="26">
        <f>IF(B22="","",H22-$H$29)</f>
        <v/>
      </c>
      <c r="J22" s="22">
        <f>IF(B22="","",IF(E22&gt;$C$6,"Excede máximo",IF(H22&gt;$H$29*(1+$C$5),"Sobrecargado",IF(H22&lt;$H$29*(1-$C$5),"Disponible","Equilibrado"))))</f>
        <v/>
      </c>
      <c r="K22" s="27">
        <f>IF(B22="","",H22+F22/100000+ROW()/100000000)</f>
        <v/>
      </c>
    </row>
    <row r="23">
      <c r="B23" s="12" t="n"/>
      <c r="C23" s="12" t="n"/>
      <c r="D23" s="13" t="n"/>
      <c r="E23" s="15">
        <f>IF(B23="","",COUNTIF(Guardias!$F$8:$F$67,B23))</f>
        <v/>
      </c>
      <c r="F23" s="18">
        <f>IF(B23="","",SUMIF(Guardias!$F$8:$F$67,B23,Guardias!$H$8:$H$67))</f>
        <v/>
      </c>
      <c r="G23" s="18">
        <f>IF(B23="","",COUNTIF(Sustituciones!$H$8:$H$37,B23))</f>
        <v/>
      </c>
      <c r="H23" s="15">
        <f>IF(B23="","",E23+G23)</f>
        <v/>
      </c>
      <c r="I23" s="26">
        <f>IF(B23="","",H23-$H$29)</f>
        <v/>
      </c>
      <c r="J23" s="22">
        <f>IF(B23="","",IF(E23&gt;$C$6,"Excede máximo",IF(H23&gt;$H$29*(1+$C$5),"Sobrecargado",IF(H23&lt;$H$29*(1-$C$5),"Disponible","Equilibrado"))))</f>
        <v/>
      </c>
      <c r="K23" s="27">
        <f>IF(B23="","",H23+F23/100000+ROW()/100000000)</f>
        <v/>
      </c>
    </row>
    <row r="24">
      <c r="B24" s="12" t="n"/>
      <c r="C24" s="12" t="n"/>
      <c r="D24" s="13" t="n"/>
      <c r="E24" s="15">
        <f>IF(B24="","",COUNTIF(Guardias!$F$8:$F$67,B24))</f>
        <v/>
      </c>
      <c r="F24" s="18">
        <f>IF(B24="","",SUMIF(Guardias!$F$8:$F$67,B24,Guardias!$H$8:$H$67))</f>
        <v/>
      </c>
      <c r="G24" s="18">
        <f>IF(B24="","",COUNTIF(Sustituciones!$H$8:$H$37,B24))</f>
        <v/>
      </c>
      <c r="H24" s="15">
        <f>IF(B24="","",E24+G24)</f>
        <v/>
      </c>
      <c r="I24" s="26">
        <f>IF(B24="","",H24-$H$29)</f>
        <v/>
      </c>
      <c r="J24" s="22">
        <f>IF(B24="","",IF(E24&gt;$C$6,"Excede máximo",IF(H24&gt;$H$29*(1+$C$5),"Sobrecargado",IF(H24&lt;$H$29*(1-$C$5),"Disponible","Equilibrado"))))</f>
        <v/>
      </c>
      <c r="K24" s="27">
        <f>IF(B24="","",H24+F24/100000+ROW()/100000000)</f>
        <v/>
      </c>
    </row>
    <row r="25">
      <c r="B25" s="12" t="n"/>
      <c r="C25" s="12" t="n"/>
      <c r="D25" s="13" t="n"/>
      <c r="E25" s="15">
        <f>IF(B25="","",COUNTIF(Guardias!$F$8:$F$67,B25))</f>
        <v/>
      </c>
      <c r="F25" s="18">
        <f>IF(B25="","",SUMIF(Guardias!$F$8:$F$67,B25,Guardias!$H$8:$H$67))</f>
        <v/>
      </c>
      <c r="G25" s="18">
        <f>IF(B25="","",COUNTIF(Sustituciones!$H$8:$H$37,B25))</f>
        <v/>
      </c>
      <c r="H25" s="15">
        <f>IF(B25="","",E25+G25)</f>
        <v/>
      </c>
      <c r="I25" s="26">
        <f>IF(B25="","",H25-$H$29)</f>
        <v/>
      </c>
      <c r="J25" s="22">
        <f>IF(B25="","",IF(E25&gt;$C$6,"Excede máximo",IF(H25&gt;$H$29*(1+$C$5),"Sobrecargado",IF(H25&lt;$H$29*(1-$C$5),"Disponible","Equilibrado"))))</f>
        <v/>
      </c>
      <c r="K25" s="27">
        <f>IF(B25="","",H25+F25/100000+ROW()/100000000)</f>
        <v/>
      </c>
    </row>
    <row r="26">
      <c r="B26" s="12" t="n"/>
      <c r="C26" s="12" t="n"/>
      <c r="D26" s="13" t="n"/>
      <c r="E26" s="15">
        <f>IF(B26="","",COUNTIF(Guardias!$F$8:$F$67,B26))</f>
        <v/>
      </c>
      <c r="F26" s="18">
        <f>IF(B26="","",SUMIF(Guardias!$F$8:$F$67,B26,Guardias!$H$8:$H$67))</f>
        <v/>
      </c>
      <c r="G26" s="18">
        <f>IF(B26="","",COUNTIF(Sustituciones!$H$8:$H$37,B26))</f>
        <v/>
      </c>
      <c r="H26" s="15">
        <f>IF(B26="","",E26+G26)</f>
        <v/>
      </c>
      <c r="I26" s="26">
        <f>IF(B26="","",H26-$H$29)</f>
        <v/>
      </c>
      <c r="J26" s="22">
        <f>IF(B26="","",IF(E26&gt;$C$6,"Excede máximo",IF(H26&gt;$H$29*(1+$C$5),"Sobrecargado",IF(H26&lt;$H$29*(1-$C$5),"Disponible","Equilibrado"))))</f>
        <v/>
      </c>
      <c r="K26" s="27">
        <f>IF(B26="","",H26+F26/100000+ROW()/100000000)</f>
        <v/>
      </c>
    </row>
    <row r="27">
      <c r="B27" s="12" t="n"/>
      <c r="C27" s="12" t="n"/>
      <c r="D27" s="13" t="n"/>
      <c r="E27" s="15">
        <f>IF(B27="","",COUNTIF(Guardias!$F$8:$F$67,B27))</f>
        <v/>
      </c>
      <c r="F27" s="18">
        <f>IF(B27="","",SUMIF(Guardias!$F$8:$F$67,B27,Guardias!$H$8:$H$67))</f>
        <v/>
      </c>
      <c r="G27" s="18">
        <f>IF(B27="","",COUNTIF(Sustituciones!$H$8:$H$37,B27))</f>
        <v/>
      </c>
      <c r="H27" s="15">
        <f>IF(B27="","",E27+G27)</f>
        <v/>
      </c>
      <c r="I27" s="26">
        <f>IF(B27="","",H27-$H$29)</f>
        <v/>
      </c>
      <c r="J27" s="22">
        <f>IF(B27="","",IF(E27&gt;$C$6,"Excede máximo",IF(H27&gt;$H$29*(1+$C$5),"Sobrecargado",IF(H27&lt;$H$29*(1-$C$5),"Disponible","Equilibrado"))))</f>
        <v/>
      </c>
      <c r="K27" s="27">
        <f>IF(B27="","",H27+F27/100000+ROW()/100000000)</f>
        <v/>
      </c>
    </row>
    <row r="28">
      <c r="B28" s="19" t="inlineStr">
        <is>
          <t>Total</t>
        </is>
      </c>
      <c r="C28" s="19" t="inlineStr"/>
      <c r="D28" s="20">
        <f>SUM(D8:D27)</f>
        <v/>
      </c>
      <c r="E28" s="20">
        <f>SUM(E8:E27)</f>
        <v/>
      </c>
      <c r="F28" s="20">
        <f>SUM(F8:F27)</f>
        <v/>
      </c>
      <c r="G28" s="20">
        <f>SUM(G8:G27)</f>
        <v/>
      </c>
      <c r="H28" s="20">
        <f>SUM(H8:H27)</f>
        <v/>
      </c>
      <c r="I28" s="19" t="inlineStr"/>
      <c r="J28" s="19" t="inlineStr"/>
    </row>
    <row r="29">
      <c r="B29" s="19" t="inlineStr">
        <is>
          <t>Media por docente</t>
        </is>
      </c>
      <c r="C29" s="19" t="inlineStr"/>
      <c r="D29" s="28">
        <f>IFERROR(AVERAGE(D8:D27),0)</f>
        <v/>
      </c>
      <c r="E29" s="28">
        <f>IFERROR(AVERAGE(E8:E27),0)</f>
        <v/>
      </c>
      <c r="F29" s="28">
        <f>IFERROR(AVERAGE(F8:F27),0)</f>
        <v/>
      </c>
      <c r="G29" s="28">
        <f>IFERROR(AVERAGE(G8:G27),0)</f>
        <v/>
      </c>
      <c r="H29" s="28">
        <f>IFERROR(AVERAGE(H8:H27),0)</f>
        <v/>
      </c>
      <c r="I29" s="19" t="inlineStr"/>
      <c r="J29" s="19" t="inlineStr"/>
    </row>
    <row r="31">
      <c r="B31" s="16" t="inlineStr">
        <is>
          <t>Carga total = guardias fijas de la semana + sustituciones realizadas. Al repartir nuevas guardias, empieza por quienes figuran como «Disponible».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J8:J27">
    <cfRule type="cellIs" priority="1" operator="equal" dxfId="0">
      <formula>"Excede máximo"</formula>
    </cfRule>
    <cfRule type="cellIs" priority="2" operator="equal" dxfId="2">
      <formula>"Sobrecargado"</formula>
    </cfRule>
    <cfRule type="cellIs" priority="3" operator="equal" dxfId="3">
      <formula>"Disponible"</formula>
    </cfRule>
    <cfRule type="cellIs" priority="4" operator="equal" dxfId="1">
      <formula>"Equilibrado"</formula>
    </cfRule>
  </conditionalFormatting>
  <conditionalFormatting sqref="H8:H27">
    <cfRule type="dataBar" priority="5">
      <dataBar>
        <cfvo type="num" val="0"/>
        <cfvo type="max"/>
        <color rgb="0010B981"/>
      </dataBar>
    </cfRule>
  </conditionalFormatting>
  <dataValidations count="1">
    <dataValidation sqref="C8:C27" showDropDown="0" showInputMessage="0" showErrorMessage="0" allowBlank="1" type="list">
      <formula1>=Listas!$D$2:$D$11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J6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14" customWidth="1" min="4" max="4"/>
    <col width="18" customWidth="1" min="5" max="5"/>
    <col width="24" customWidth="1" min="6" max="6"/>
    <col width="22" customWidth="1" min="7" max="7"/>
    <col width="10" customWidth="1" min="8" max="8"/>
    <col width="24" customWidth="1" min="9" max="9"/>
    <col hidden="1" width="16" customWidth="1" min="10" max="10"/>
  </cols>
  <sheetData>
    <row r="2" ht="34" customHeight="1">
      <c r="B2" s="1" t="inlineStr">
        <is>
          <t>Registro de guardias semanales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Una fila por guardia: día, franja, tipo, lugar y docente. Hasta 60 guardias; el cuadrante del Panel se actualiza solo.</t>
        </is>
      </c>
    </row>
    <row r="7" ht="30" customHeight="1">
      <c r="B7" s="11" t="inlineStr">
        <is>
          <t>Día</t>
        </is>
      </c>
      <c r="C7" s="11" t="inlineStr">
        <is>
          <t>Franja</t>
        </is>
      </c>
      <c r="D7" s="11" t="inlineStr">
        <is>
          <t>Tipo de guardia</t>
        </is>
      </c>
      <c r="E7" s="11" t="inlineStr">
        <is>
          <t>Lugar / zona</t>
        </is>
      </c>
      <c r="F7" s="11" t="inlineStr">
        <is>
          <t>Docente</t>
        </is>
      </c>
      <c r="G7" s="11" t="inlineStr">
        <is>
          <t>Departamento</t>
        </is>
      </c>
      <c r="H7" s="11" t="inlineStr">
        <is>
          <t>Minutos</t>
        </is>
      </c>
      <c r="I7" s="11" t="inlineStr">
        <is>
          <t>Aviso</t>
        </is>
      </c>
      <c r="J7" s="25" t="inlineStr">
        <is>
          <t>Clave (aux.)</t>
        </is>
      </c>
    </row>
    <row r="8">
      <c r="B8" s="12" t="inlineStr">
        <is>
          <t>Lunes</t>
        </is>
      </c>
      <c r="C8" s="12" t="inlineStr">
        <is>
          <t>1ª hora</t>
        </is>
      </c>
      <c r="D8" s="12" t="inlineStr">
        <is>
          <t>Aula</t>
        </is>
      </c>
      <c r="E8" s="12" t="inlineStr">
        <is>
          <t>Sala de profesores</t>
        </is>
      </c>
      <c r="F8" s="12" t="inlineStr">
        <is>
          <t>Ana Martín</t>
        </is>
      </c>
      <c r="G8" s="17">
        <f>IF(F8="","",IFERROR(VLOOKUP(F8,Profesorado!$B$8:$C$27,2,FALSE),"?"))</f>
        <v/>
      </c>
      <c r="H8" s="18">
        <f>IF(C8="","",IFERROR(VLOOKUP(C8,Panel!$B$13:$C$19,2,FALSE),0))</f>
        <v/>
      </c>
      <c r="I8" s="22">
        <f>IF(F8="","",IF(OR(B8="",C8=""),"Completa día y franja",IF(COUNTIFS($B$8:$B$67,B8,$C$8:$C$67,C8,$F$8:$F$67,F8)&gt;1,"Duplicada",IF(COUNTIF($F$8:$F$67,F8)&gt;Profesorado!$C$6,"Excede máximo","OK"))))</f>
        <v/>
      </c>
      <c r="J8" s="29">
        <f>IF(OR(B8="",C8=""),"",B8&amp;"|"&amp;C8&amp;"|"&amp;COUNTIFS(B$8:B8,B8,C$8:C8,C8))</f>
        <v/>
      </c>
    </row>
    <row r="9">
      <c r="B9" s="12" t="inlineStr">
        <is>
          <t>Lunes</t>
        </is>
      </c>
      <c r="C9" s="12" t="inlineStr">
        <is>
          <t>2ª hora</t>
        </is>
      </c>
      <c r="D9" s="12" t="inlineStr">
        <is>
          <t>Aula</t>
        </is>
      </c>
      <c r="E9" s="12" t="inlineStr">
        <is>
          <t>Sala de profesores</t>
        </is>
      </c>
      <c r="F9" s="12" t="inlineStr">
        <is>
          <t>Luis Gómez</t>
        </is>
      </c>
      <c r="G9" s="17">
        <f>IF(F9="","",IFERROR(VLOOKUP(F9,Profesorado!$B$8:$C$27,2,FALSE),"?"))</f>
        <v/>
      </c>
      <c r="H9" s="18">
        <f>IF(C9="","",IFERROR(VLOOKUP(C9,Panel!$B$13:$C$19,2,FALSE),0))</f>
        <v/>
      </c>
      <c r="I9" s="22">
        <f>IF(F9="","",IF(OR(B9="",C9=""),"Completa día y franja",IF(COUNTIFS($B$8:$B$67,B9,$C$8:$C$67,C9,$F$8:$F$67,F9)&gt;1,"Duplicada",IF(COUNTIF($F$8:$F$67,F9)&gt;Profesorado!$C$6,"Excede máximo","OK"))))</f>
        <v/>
      </c>
      <c r="J9" s="29">
        <f>IF(OR(B9="",C9=""),"",B9&amp;"|"&amp;C9&amp;"|"&amp;COUNTIFS(B$8:B9,B9,C$8:C9,C9))</f>
        <v/>
      </c>
    </row>
    <row r="10">
      <c r="B10" s="12" t="inlineStr">
        <is>
          <t>Lunes</t>
        </is>
      </c>
      <c r="C10" s="12" t="inlineStr">
        <is>
          <t>3ª hora</t>
        </is>
      </c>
      <c r="D10" s="12" t="inlineStr">
        <is>
          <t>Aula</t>
        </is>
      </c>
      <c r="E10" s="12" t="inlineStr">
        <is>
          <t>Sala de profesores</t>
        </is>
      </c>
      <c r="F10" s="12" t="inlineStr">
        <is>
          <t>Marta Ruiz</t>
        </is>
      </c>
      <c r="G10" s="17">
        <f>IF(F10="","",IFERROR(VLOOKUP(F10,Profesorado!$B$8:$C$27,2,FALSE),"?"))</f>
        <v/>
      </c>
      <c r="H10" s="18">
        <f>IF(C10="","",IFERROR(VLOOKUP(C10,Panel!$B$13:$C$19,2,FALSE),0))</f>
        <v/>
      </c>
      <c r="I10" s="22">
        <f>IF(F10="","",IF(OR(B10="",C10=""),"Completa día y franja",IF(COUNTIFS($B$8:$B$67,B10,$C$8:$C$67,C10,$F$8:$F$67,F10)&gt;1,"Duplicada",IF(COUNTIF($F$8:$F$67,F10)&gt;Profesorado!$C$6,"Excede máximo","OK"))))</f>
        <v/>
      </c>
      <c r="J10" s="29">
        <f>IF(OR(B10="",C10=""),"",B10&amp;"|"&amp;C10&amp;"|"&amp;COUNTIFS(B$8:B10,B10,C$8:C10,C10))</f>
        <v/>
      </c>
    </row>
    <row r="11">
      <c r="B11" s="12" t="inlineStr">
        <is>
          <t>Lunes</t>
        </is>
      </c>
      <c r="C11" s="12" t="inlineStr">
        <is>
          <t>Recreo</t>
        </is>
      </c>
      <c r="D11" s="12" t="inlineStr">
        <is>
          <t>Recreo</t>
        </is>
      </c>
      <c r="E11" s="12" t="inlineStr">
        <is>
          <t>Patio</t>
        </is>
      </c>
      <c r="F11" s="12" t="inlineStr">
        <is>
          <t>Pablo Sanz</t>
        </is>
      </c>
      <c r="G11" s="17">
        <f>IF(F11="","",IFERROR(VLOOKUP(F11,Profesorado!$B$8:$C$27,2,FALSE),"?"))</f>
        <v/>
      </c>
      <c r="H11" s="18">
        <f>IF(C11="","",IFERROR(VLOOKUP(C11,Panel!$B$13:$C$19,2,FALSE),0))</f>
        <v/>
      </c>
      <c r="I11" s="22">
        <f>IF(F11="","",IF(OR(B11="",C11=""),"Completa día y franja",IF(COUNTIFS($B$8:$B$67,B11,$C$8:$C$67,C11,$F$8:$F$67,F11)&gt;1,"Duplicada",IF(COUNTIF($F$8:$F$67,F11)&gt;Profesorado!$C$6,"Excede máximo","OK"))))</f>
        <v/>
      </c>
      <c r="J11" s="29">
        <f>IF(OR(B11="",C11=""),"",B11&amp;"|"&amp;C11&amp;"|"&amp;COUNTIFS(B$8:B11,B11,C$8:C11,C11))</f>
        <v/>
      </c>
    </row>
    <row r="12">
      <c r="B12" s="12" t="inlineStr">
        <is>
          <t>Lunes</t>
        </is>
      </c>
      <c r="C12" s="12" t="inlineStr">
        <is>
          <t>Recreo</t>
        </is>
      </c>
      <c r="D12" s="12" t="inlineStr">
        <is>
          <t>Recreo</t>
        </is>
      </c>
      <c r="E12" s="12" t="inlineStr">
        <is>
          <t>Patio</t>
        </is>
      </c>
      <c r="F12" s="12" t="inlineStr">
        <is>
          <t>Elena Torres</t>
        </is>
      </c>
      <c r="G12" s="17">
        <f>IF(F12="","",IFERROR(VLOOKUP(F12,Profesorado!$B$8:$C$27,2,FALSE),"?"))</f>
        <v/>
      </c>
      <c r="H12" s="18">
        <f>IF(C12="","",IFERROR(VLOOKUP(C12,Panel!$B$13:$C$19,2,FALSE),0))</f>
        <v/>
      </c>
      <c r="I12" s="22">
        <f>IF(F12="","",IF(OR(B12="",C12=""),"Completa día y franja",IF(COUNTIFS($B$8:$B$67,B12,$C$8:$C$67,C12,$F$8:$F$67,F12)&gt;1,"Duplicada",IF(COUNTIF($F$8:$F$67,F12)&gt;Profesorado!$C$6,"Excede máximo","OK"))))</f>
        <v/>
      </c>
      <c r="J12" s="29">
        <f>IF(OR(B12="",C12=""),"",B12&amp;"|"&amp;C12&amp;"|"&amp;COUNTIFS(B$8:B12,B12,C$8:C12,C12))</f>
        <v/>
      </c>
    </row>
    <row r="13">
      <c r="B13" s="12" t="inlineStr">
        <is>
          <t>Lunes</t>
        </is>
      </c>
      <c r="C13" s="12" t="inlineStr">
        <is>
          <t>4ª hora</t>
        </is>
      </c>
      <c r="D13" s="12" t="inlineStr">
        <is>
          <t>Aula</t>
        </is>
      </c>
      <c r="E13" s="12" t="inlineStr">
        <is>
          <t>Sala de profesores</t>
        </is>
      </c>
      <c r="F13" s="12" t="inlineStr">
        <is>
          <t>Javier Díaz</t>
        </is>
      </c>
      <c r="G13" s="17">
        <f>IF(F13="","",IFERROR(VLOOKUP(F13,Profesorado!$B$8:$C$27,2,FALSE),"?"))</f>
        <v/>
      </c>
      <c r="H13" s="18">
        <f>IF(C13="","",IFERROR(VLOOKUP(C13,Panel!$B$13:$C$19,2,FALSE),0))</f>
        <v/>
      </c>
      <c r="I13" s="22">
        <f>IF(F13="","",IF(OR(B13="",C13=""),"Completa día y franja",IF(COUNTIFS($B$8:$B$67,B13,$C$8:$C$67,C13,$F$8:$F$67,F13)&gt;1,"Duplicada",IF(COUNTIF($F$8:$F$67,F13)&gt;Profesorado!$C$6,"Excede máximo","OK"))))</f>
        <v/>
      </c>
      <c r="J13" s="29">
        <f>IF(OR(B13="",C13=""),"",B13&amp;"|"&amp;C13&amp;"|"&amp;COUNTIFS(B$8:B13,B13,C$8:C13,C13))</f>
        <v/>
      </c>
    </row>
    <row r="14">
      <c r="B14" s="12" t="inlineStr">
        <is>
          <t>Lunes</t>
        </is>
      </c>
      <c r="C14" s="12" t="inlineStr">
        <is>
          <t>5ª hora</t>
        </is>
      </c>
      <c r="D14" s="12" t="inlineStr">
        <is>
          <t>Biblioteca</t>
        </is>
      </c>
      <c r="E14" s="12" t="inlineStr">
        <is>
          <t>Biblioteca</t>
        </is>
      </c>
      <c r="F14" s="12" t="inlineStr">
        <is>
          <t>Carmen Vidal</t>
        </is>
      </c>
      <c r="G14" s="17">
        <f>IF(F14="","",IFERROR(VLOOKUP(F14,Profesorado!$B$8:$C$27,2,FALSE),"?"))</f>
        <v/>
      </c>
      <c r="H14" s="18">
        <f>IF(C14="","",IFERROR(VLOOKUP(C14,Panel!$B$13:$C$19,2,FALSE),0))</f>
        <v/>
      </c>
      <c r="I14" s="22">
        <f>IF(F14="","",IF(OR(B14="",C14=""),"Completa día y franja",IF(COUNTIFS($B$8:$B$67,B14,$C$8:$C$67,C14,$F$8:$F$67,F14)&gt;1,"Duplicada",IF(COUNTIF($F$8:$F$67,F14)&gt;Profesorado!$C$6,"Excede máximo","OK"))))</f>
        <v/>
      </c>
      <c r="J14" s="29">
        <f>IF(OR(B14="",C14=""),"",B14&amp;"|"&amp;C14&amp;"|"&amp;COUNTIFS(B$8:B14,B14,C$8:C14,C14))</f>
        <v/>
      </c>
    </row>
    <row r="15">
      <c r="B15" s="12" t="inlineStr">
        <is>
          <t>Lunes</t>
        </is>
      </c>
      <c r="C15" s="12" t="inlineStr">
        <is>
          <t>6ª hora</t>
        </is>
      </c>
      <c r="D15" s="12" t="inlineStr">
        <is>
          <t>Aula</t>
        </is>
      </c>
      <c r="E15" s="12" t="inlineStr">
        <is>
          <t>Sala de profesores</t>
        </is>
      </c>
      <c r="F15" s="12" t="inlineStr">
        <is>
          <t>Raúl Ortega</t>
        </is>
      </c>
      <c r="G15" s="17">
        <f>IF(F15="","",IFERROR(VLOOKUP(F15,Profesorado!$B$8:$C$27,2,FALSE),"?"))</f>
        <v/>
      </c>
      <c r="H15" s="18">
        <f>IF(C15="","",IFERROR(VLOOKUP(C15,Panel!$B$13:$C$19,2,FALSE),0))</f>
        <v/>
      </c>
      <c r="I15" s="22">
        <f>IF(F15="","",IF(OR(B15="",C15=""),"Completa día y franja",IF(COUNTIFS($B$8:$B$67,B15,$C$8:$C$67,C15,$F$8:$F$67,F15)&gt;1,"Duplicada",IF(COUNTIF($F$8:$F$67,F15)&gt;Profesorado!$C$6,"Excede máximo","OK"))))</f>
        <v/>
      </c>
      <c r="J15" s="29">
        <f>IF(OR(B15="",C15=""),"",B15&amp;"|"&amp;C15&amp;"|"&amp;COUNTIFS(B$8:B15,B15,C$8:C15,C15))</f>
        <v/>
      </c>
    </row>
    <row r="16">
      <c r="B16" s="12" t="inlineStr">
        <is>
          <t>Martes</t>
        </is>
      </c>
      <c r="C16" s="12" t="inlineStr">
        <is>
          <t>1ª hora</t>
        </is>
      </c>
      <c r="D16" s="12" t="inlineStr">
        <is>
          <t>Aula</t>
        </is>
      </c>
      <c r="E16" s="12" t="inlineStr">
        <is>
          <t>Sala de profesores</t>
        </is>
      </c>
      <c r="F16" s="12" t="inlineStr">
        <is>
          <t>Sofía Navarro</t>
        </is>
      </c>
      <c r="G16" s="17">
        <f>IF(F16="","",IFERROR(VLOOKUP(F16,Profesorado!$B$8:$C$27,2,FALSE),"?"))</f>
        <v/>
      </c>
      <c r="H16" s="18">
        <f>IF(C16="","",IFERROR(VLOOKUP(C16,Panel!$B$13:$C$19,2,FALSE),0))</f>
        <v/>
      </c>
      <c r="I16" s="22">
        <f>IF(F16="","",IF(OR(B16="",C16=""),"Completa día y franja",IF(COUNTIFS($B$8:$B$67,B16,$C$8:$C$67,C16,$F$8:$F$67,F16)&gt;1,"Duplicada",IF(COUNTIF($F$8:$F$67,F16)&gt;Profesorado!$C$6,"Excede máximo","OK"))))</f>
        <v/>
      </c>
      <c r="J16" s="29">
        <f>IF(OR(B16="",C16=""),"",B16&amp;"|"&amp;C16&amp;"|"&amp;COUNTIFS(B$8:B16,B16,C$8:C16,C16))</f>
        <v/>
      </c>
    </row>
    <row r="17">
      <c r="B17" s="12" t="inlineStr">
        <is>
          <t>Martes</t>
        </is>
      </c>
      <c r="C17" s="12" t="inlineStr">
        <is>
          <t>2ª hora</t>
        </is>
      </c>
      <c r="D17" s="12" t="inlineStr">
        <is>
          <t>Aula</t>
        </is>
      </c>
      <c r="E17" s="12" t="inlineStr">
        <is>
          <t>Sala de profesores</t>
        </is>
      </c>
      <c r="F17" s="12" t="inlineStr">
        <is>
          <t>Daniel Cano</t>
        </is>
      </c>
      <c r="G17" s="17">
        <f>IF(F17="","",IFERROR(VLOOKUP(F17,Profesorado!$B$8:$C$27,2,FALSE),"?"))</f>
        <v/>
      </c>
      <c r="H17" s="18">
        <f>IF(C17="","",IFERROR(VLOOKUP(C17,Panel!$B$13:$C$19,2,FALSE),0))</f>
        <v/>
      </c>
      <c r="I17" s="22">
        <f>IF(F17="","",IF(OR(B17="",C17=""),"Completa día y franja",IF(COUNTIFS($B$8:$B$67,B17,$C$8:$C$67,C17,$F$8:$F$67,F17)&gt;1,"Duplicada",IF(COUNTIF($F$8:$F$67,F17)&gt;Profesorado!$C$6,"Excede máximo","OK"))))</f>
        <v/>
      </c>
      <c r="J17" s="29">
        <f>IF(OR(B17="",C17=""),"",B17&amp;"|"&amp;C17&amp;"|"&amp;COUNTIFS(B$8:B17,B17,C$8:C17,C17))</f>
        <v/>
      </c>
    </row>
    <row r="18">
      <c r="B18" s="12" t="inlineStr">
        <is>
          <t>Martes</t>
        </is>
      </c>
      <c r="C18" s="12" t="inlineStr">
        <is>
          <t>3ª hora</t>
        </is>
      </c>
      <c r="D18" s="12" t="inlineStr">
        <is>
          <t>Aula</t>
        </is>
      </c>
      <c r="E18" s="12" t="inlineStr">
        <is>
          <t>Sala de profesores</t>
        </is>
      </c>
      <c r="F18" s="12" t="inlineStr">
        <is>
          <t>Irene Molina</t>
        </is>
      </c>
      <c r="G18" s="17">
        <f>IF(F18="","",IFERROR(VLOOKUP(F18,Profesorado!$B$8:$C$27,2,FALSE),"?"))</f>
        <v/>
      </c>
      <c r="H18" s="18">
        <f>IF(C18="","",IFERROR(VLOOKUP(C18,Panel!$B$13:$C$19,2,FALSE),0))</f>
        <v/>
      </c>
      <c r="I18" s="22">
        <f>IF(F18="","",IF(OR(B18="",C18=""),"Completa día y franja",IF(COUNTIFS($B$8:$B$67,B18,$C$8:$C$67,C18,$F$8:$F$67,F18)&gt;1,"Duplicada",IF(COUNTIF($F$8:$F$67,F18)&gt;Profesorado!$C$6,"Excede máximo","OK"))))</f>
        <v/>
      </c>
      <c r="J18" s="29">
        <f>IF(OR(B18="",C18=""),"",B18&amp;"|"&amp;C18&amp;"|"&amp;COUNTIFS(B$8:B18,B18,C$8:C18,C18))</f>
        <v/>
      </c>
    </row>
    <row r="19">
      <c r="B19" s="12" t="inlineStr">
        <is>
          <t>Martes</t>
        </is>
      </c>
      <c r="C19" s="12" t="inlineStr">
        <is>
          <t>Recreo</t>
        </is>
      </c>
      <c r="D19" s="12" t="inlineStr">
        <is>
          <t>Recreo</t>
        </is>
      </c>
      <c r="E19" s="12" t="inlineStr">
        <is>
          <t>Patio</t>
        </is>
      </c>
      <c r="F19" s="12" t="inlineStr">
        <is>
          <t>Hugo Blanco</t>
        </is>
      </c>
      <c r="G19" s="17">
        <f>IF(F19="","",IFERROR(VLOOKUP(F19,Profesorado!$B$8:$C$27,2,FALSE),"?"))</f>
        <v/>
      </c>
      <c r="H19" s="18">
        <f>IF(C19="","",IFERROR(VLOOKUP(C19,Panel!$B$13:$C$19,2,FALSE),0))</f>
        <v/>
      </c>
      <c r="I19" s="22">
        <f>IF(F19="","",IF(OR(B19="",C19=""),"Completa día y franja",IF(COUNTIFS($B$8:$B$67,B19,$C$8:$C$67,C19,$F$8:$F$67,F19)&gt;1,"Duplicada",IF(COUNTIF($F$8:$F$67,F19)&gt;Profesorado!$C$6,"Excede máximo","OK"))))</f>
        <v/>
      </c>
      <c r="J19" s="29">
        <f>IF(OR(B19="",C19=""),"",B19&amp;"|"&amp;C19&amp;"|"&amp;COUNTIFS(B$8:B19,B19,C$8:C19,C19))</f>
        <v/>
      </c>
    </row>
    <row r="20">
      <c r="B20" s="12" t="inlineStr">
        <is>
          <t>Martes</t>
        </is>
      </c>
      <c r="C20" s="12" t="inlineStr">
        <is>
          <t>Recreo</t>
        </is>
      </c>
      <c r="D20" s="12" t="inlineStr">
        <is>
          <t>Recreo</t>
        </is>
      </c>
      <c r="E20" s="12" t="inlineStr">
        <is>
          <t>Patio</t>
        </is>
      </c>
      <c r="F20" s="12" t="inlineStr">
        <is>
          <t>Ana Martín</t>
        </is>
      </c>
      <c r="G20" s="17">
        <f>IF(F20="","",IFERROR(VLOOKUP(F20,Profesorado!$B$8:$C$27,2,FALSE),"?"))</f>
        <v/>
      </c>
      <c r="H20" s="18">
        <f>IF(C20="","",IFERROR(VLOOKUP(C20,Panel!$B$13:$C$19,2,FALSE),0))</f>
        <v/>
      </c>
      <c r="I20" s="22">
        <f>IF(F20="","",IF(OR(B20="",C20=""),"Completa día y franja",IF(COUNTIFS($B$8:$B$67,B20,$C$8:$C$67,C20,$F$8:$F$67,F20)&gt;1,"Duplicada",IF(COUNTIF($F$8:$F$67,F20)&gt;Profesorado!$C$6,"Excede máximo","OK"))))</f>
        <v/>
      </c>
      <c r="J20" s="29">
        <f>IF(OR(B20="",C20=""),"",B20&amp;"|"&amp;C20&amp;"|"&amp;COUNTIFS(B$8:B20,B20,C$8:C20,C20))</f>
        <v/>
      </c>
    </row>
    <row r="21">
      <c r="B21" s="12" t="inlineStr">
        <is>
          <t>Martes</t>
        </is>
      </c>
      <c r="C21" s="12" t="inlineStr">
        <is>
          <t>4ª hora</t>
        </is>
      </c>
      <c r="D21" s="12" t="inlineStr">
        <is>
          <t>Aula</t>
        </is>
      </c>
      <c r="E21" s="12" t="inlineStr">
        <is>
          <t>Sala de profesores</t>
        </is>
      </c>
      <c r="F21" s="12" t="inlineStr">
        <is>
          <t>Luis Gómez</t>
        </is>
      </c>
      <c r="G21" s="17">
        <f>IF(F21="","",IFERROR(VLOOKUP(F21,Profesorado!$B$8:$C$27,2,FALSE),"?"))</f>
        <v/>
      </c>
      <c r="H21" s="18">
        <f>IF(C21="","",IFERROR(VLOOKUP(C21,Panel!$B$13:$C$19,2,FALSE),0))</f>
        <v/>
      </c>
      <c r="I21" s="22">
        <f>IF(F21="","",IF(OR(B21="",C21=""),"Completa día y franja",IF(COUNTIFS($B$8:$B$67,B21,$C$8:$C$67,C21,$F$8:$F$67,F21)&gt;1,"Duplicada",IF(COUNTIF($F$8:$F$67,F21)&gt;Profesorado!$C$6,"Excede máximo","OK"))))</f>
        <v/>
      </c>
      <c r="J21" s="29">
        <f>IF(OR(B21="",C21=""),"",B21&amp;"|"&amp;C21&amp;"|"&amp;COUNTIFS(B$8:B21,B21,C$8:C21,C21))</f>
        <v/>
      </c>
    </row>
    <row r="22">
      <c r="B22" s="12" t="inlineStr">
        <is>
          <t>Martes</t>
        </is>
      </c>
      <c r="C22" s="12" t="inlineStr">
        <is>
          <t>5ª hora</t>
        </is>
      </c>
      <c r="D22" s="12" t="inlineStr">
        <is>
          <t>Biblioteca</t>
        </is>
      </c>
      <c r="E22" s="12" t="inlineStr">
        <is>
          <t>Biblioteca</t>
        </is>
      </c>
      <c r="F22" s="12" t="inlineStr">
        <is>
          <t>Marta Ruiz</t>
        </is>
      </c>
      <c r="G22" s="17">
        <f>IF(F22="","",IFERROR(VLOOKUP(F22,Profesorado!$B$8:$C$27,2,FALSE),"?"))</f>
        <v/>
      </c>
      <c r="H22" s="18">
        <f>IF(C22="","",IFERROR(VLOOKUP(C22,Panel!$B$13:$C$19,2,FALSE),0))</f>
        <v/>
      </c>
      <c r="I22" s="22">
        <f>IF(F22="","",IF(OR(B22="",C22=""),"Completa día y franja",IF(COUNTIFS($B$8:$B$67,B22,$C$8:$C$67,C22,$F$8:$F$67,F22)&gt;1,"Duplicada",IF(COUNTIF($F$8:$F$67,F22)&gt;Profesorado!$C$6,"Excede máximo","OK"))))</f>
        <v/>
      </c>
      <c r="J22" s="29">
        <f>IF(OR(B22="",C22=""),"",B22&amp;"|"&amp;C22&amp;"|"&amp;COUNTIFS(B$8:B22,B22,C$8:C22,C22))</f>
        <v/>
      </c>
    </row>
    <row r="23">
      <c r="B23" s="12" t="inlineStr">
        <is>
          <t>Martes</t>
        </is>
      </c>
      <c r="C23" s="12" t="inlineStr">
        <is>
          <t>6ª hora</t>
        </is>
      </c>
      <c r="D23" s="12" t="inlineStr">
        <is>
          <t>Aula</t>
        </is>
      </c>
      <c r="E23" s="12" t="inlineStr">
        <is>
          <t>Sala de profesores</t>
        </is>
      </c>
      <c r="F23" s="12" t="inlineStr">
        <is>
          <t>Pablo Sanz</t>
        </is>
      </c>
      <c r="G23" s="17">
        <f>IF(F23="","",IFERROR(VLOOKUP(F23,Profesorado!$B$8:$C$27,2,FALSE),"?"))</f>
        <v/>
      </c>
      <c r="H23" s="18">
        <f>IF(C23="","",IFERROR(VLOOKUP(C23,Panel!$B$13:$C$19,2,FALSE),0))</f>
        <v/>
      </c>
      <c r="I23" s="22">
        <f>IF(F23="","",IF(OR(B23="",C23=""),"Completa día y franja",IF(COUNTIFS($B$8:$B$67,B23,$C$8:$C$67,C23,$F$8:$F$67,F23)&gt;1,"Duplicada",IF(COUNTIF($F$8:$F$67,F23)&gt;Profesorado!$C$6,"Excede máximo","OK"))))</f>
        <v/>
      </c>
      <c r="J23" s="29">
        <f>IF(OR(B23="",C23=""),"",B23&amp;"|"&amp;C23&amp;"|"&amp;COUNTIFS(B$8:B23,B23,C$8:C23,C23))</f>
        <v/>
      </c>
    </row>
    <row r="24">
      <c r="B24" s="12" t="inlineStr">
        <is>
          <t>Miércoles</t>
        </is>
      </c>
      <c r="C24" s="12" t="inlineStr">
        <is>
          <t>1ª hora</t>
        </is>
      </c>
      <c r="D24" s="12" t="inlineStr">
        <is>
          <t>Aula</t>
        </is>
      </c>
      <c r="E24" s="12" t="inlineStr">
        <is>
          <t>Sala de profesores</t>
        </is>
      </c>
      <c r="F24" s="12" t="inlineStr">
        <is>
          <t>Elena Torres</t>
        </is>
      </c>
      <c r="G24" s="17">
        <f>IF(F24="","",IFERROR(VLOOKUP(F24,Profesorado!$B$8:$C$27,2,FALSE),"?"))</f>
        <v/>
      </c>
      <c r="H24" s="18">
        <f>IF(C24="","",IFERROR(VLOOKUP(C24,Panel!$B$13:$C$19,2,FALSE),0))</f>
        <v/>
      </c>
      <c r="I24" s="22">
        <f>IF(F24="","",IF(OR(B24="",C24=""),"Completa día y franja",IF(COUNTIFS($B$8:$B$67,B24,$C$8:$C$67,C24,$F$8:$F$67,F24)&gt;1,"Duplicada",IF(COUNTIF($F$8:$F$67,F24)&gt;Profesorado!$C$6,"Excede máximo","OK"))))</f>
        <v/>
      </c>
      <c r="J24" s="29">
        <f>IF(OR(B24="",C24=""),"",B24&amp;"|"&amp;C24&amp;"|"&amp;COUNTIFS(B$8:B24,B24,C$8:C24,C24))</f>
        <v/>
      </c>
    </row>
    <row r="25">
      <c r="B25" s="12" t="inlineStr">
        <is>
          <t>Miércoles</t>
        </is>
      </c>
      <c r="C25" s="12" t="inlineStr">
        <is>
          <t>2ª hora</t>
        </is>
      </c>
      <c r="D25" s="12" t="inlineStr">
        <is>
          <t>Aula</t>
        </is>
      </c>
      <c r="E25" s="12" t="inlineStr">
        <is>
          <t>Sala de profesores</t>
        </is>
      </c>
      <c r="F25" s="12" t="inlineStr">
        <is>
          <t>Javier Díaz</t>
        </is>
      </c>
      <c r="G25" s="17">
        <f>IF(F25="","",IFERROR(VLOOKUP(F25,Profesorado!$B$8:$C$27,2,FALSE),"?"))</f>
        <v/>
      </c>
      <c r="H25" s="18">
        <f>IF(C25="","",IFERROR(VLOOKUP(C25,Panel!$B$13:$C$19,2,FALSE),0))</f>
        <v/>
      </c>
      <c r="I25" s="22">
        <f>IF(F25="","",IF(OR(B25="",C25=""),"Completa día y franja",IF(COUNTIFS($B$8:$B$67,B25,$C$8:$C$67,C25,$F$8:$F$67,F25)&gt;1,"Duplicada",IF(COUNTIF($F$8:$F$67,F25)&gt;Profesorado!$C$6,"Excede máximo","OK"))))</f>
        <v/>
      </c>
      <c r="J25" s="29">
        <f>IF(OR(B25="",C25=""),"",B25&amp;"|"&amp;C25&amp;"|"&amp;COUNTIFS(B$8:B25,B25,C$8:C25,C25))</f>
        <v/>
      </c>
    </row>
    <row r="26">
      <c r="B26" s="12" t="inlineStr">
        <is>
          <t>Miércoles</t>
        </is>
      </c>
      <c r="C26" s="12" t="inlineStr">
        <is>
          <t>3ª hora</t>
        </is>
      </c>
      <c r="D26" s="12" t="inlineStr">
        <is>
          <t>Aula</t>
        </is>
      </c>
      <c r="E26" s="12" t="inlineStr">
        <is>
          <t>Sala de profesores</t>
        </is>
      </c>
      <c r="F26" s="12" t="inlineStr">
        <is>
          <t>Carmen Vidal</t>
        </is>
      </c>
      <c r="G26" s="17">
        <f>IF(F26="","",IFERROR(VLOOKUP(F26,Profesorado!$B$8:$C$27,2,FALSE),"?"))</f>
        <v/>
      </c>
      <c r="H26" s="18">
        <f>IF(C26="","",IFERROR(VLOOKUP(C26,Panel!$B$13:$C$19,2,FALSE),0))</f>
        <v/>
      </c>
      <c r="I26" s="22">
        <f>IF(F26="","",IF(OR(B26="",C26=""),"Completa día y franja",IF(COUNTIFS($B$8:$B$67,B26,$C$8:$C$67,C26,$F$8:$F$67,F26)&gt;1,"Duplicada",IF(COUNTIF($F$8:$F$67,F26)&gt;Profesorado!$C$6,"Excede máximo","OK"))))</f>
        <v/>
      </c>
      <c r="J26" s="29">
        <f>IF(OR(B26="",C26=""),"",B26&amp;"|"&amp;C26&amp;"|"&amp;COUNTIFS(B$8:B26,B26,C$8:C26,C26))</f>
        <v/>
      </c>
    </row>
    <row r="27">
      <c r="B27" s="12" t="inlineStr">
        <is>
          <t>Miércoles</t>
        </is>
      </c>
      <c r="C27" s="12" t="inlineStr">
        <is>
          <t>Recreo</t>
        </is>
      </c>
      <c r="D27" s="12" t="inlineStr">
        <is>
          <t>Recreo</t>
        </is>
      </c>
      <c r="E27" s="12" t="inlineStr">
        <is>
          <t>Patio</t>
        </is>
      </c>
      <c r="F27" s="12" t="inlineStr">
        <is>
          <t>Raúl Ortega</t>
        </is>
      </c>
      <c r="G27" s="17">
        <f>IF(F27="","",IFERROR(VLOOKUP(F27,Profesorado!$B$8:$C$27,2,FALSE),"?"))</f>
        <v/>
      </c>
      <c r="H27" s="18">
        <f>IF(C27="","",IFERROR(VLOOKUP(C27,Panel!$B$13:$C$19,2,FALSE),0))</f>
        <v/>
      </c>
      <c r="I27" s="22">
        <f>IF(F27="","",IF(OR(B27="",C27=""),"Completa día y franja",IF(COUNTIFS($B$8:$B$67,B27,$C$8:$C$67,C27,$F$8:$F$67,F27)&gt;1,"Duplicada",IF(COUNTIF($F$8:$F$67,F27)&gt;Profesorado!$C$6,"Excede máximo","OK"))))</f>
        <v/>
      </c>
      <c r="J27" s="29">
        <f>IF(OR(B27="",C27=""),"",B27&amp;"|"&amp;C27&amp;"|"&amp;COUNTIFS(B$8:B27,B27,C$8:C27,C27))</f>
        <v/>
      </c>
    </row>
    <row r="28">
      <c r="B28" s="12" t="inlineStr">
        <is>
          <t>Miércoles</t>
        </is>
      </c>
      <c r="C28" s="12" t="inlineStr">
        <is>
          <t>Recreo</t>
        </is>
      </c>
      <c r="D28" s="12" t="inlineStr">
        <is>
          <t>Pasillos</t>
        </is>
      </c>
      <c r="E28" s="12" t="inlineStr">
        <is>
          <t>Pasillos 1ª planta</t>
        </is>
      </c>
      <c r="F28" s="12" t="inlineStr">
        <is>
          <t>Sofía Navarro</t>
        </is>
      </c>
      <c r="G28" s="17">
        <f>IF(F28="","",IFERROR(VLOOKUP(F28,Profesorado!$B$8:$C$27,2,FALSE),"?"))</f>
        <v/>
      </c>
      <c r="H28" s="18">
        <f>IF(C28="","",IFERROR(VLOOKUP(C28,Panel!$B$13:$C$19,2,FALSE),0))</f>
        <v/>
      </c>
      <c r="I28" s="22">
        <f>IF(F28="","",IF(OR(B28="",C28=""),"Completa día y franja",IF(COUNTIFS($B$8:$B$67,B28,$C$8:$C$67,C28,$F$8:$F$67,F28)&gt;1,"Duplicada",IF(COUNTIF($F$8:$F$67,F28)&gt;Profesorado!$C$6,"Excede máximo","OK"))))</f>
        <v/>
      </c>
      <c r="J28" s="29">
        <f>IF(OR(B28="",C28=""),"",B28&amp;"|"&amp;C28&amp;"|"&amp;COUNTIFS(B$8:B28,B28,C$8:C28,C28))</f>
        <v/>
      </c>
    </row>
    <row r="29">
      <c r="B29" s="12" t="inlineStr">
        <is>
          <t>Miércoles</t>
        </is>
      </c>
      <c r="C29" s="12" t="inlineStr">
        <is>
          <t>4ª hora</t>
        </is>
      </c>
      <c r="D29" s="12" t="inlineStr">
        <is>
          <t>Aula</t>
        </is>
      </c>
      <c r="E29" s="12" t="inlineStr">
        <is>
          <t>Sala de profesores</t>
        </is>
      </c>
      <c r="F29" s="12" t="inlineStr">
        <is>
          <t>Daniel Cano</t>
        </is>
      </c>
      <c r="G29" s="17">
        <f>IF(F29="","",IFERROR(VLOOKUP(F29,Profesorado!$B$8:$C$27,2,FALSE),"?"))</f>
        <v/>
      </c>
      <c r="H29" s="18">
        <f>IF(C29="","",IFERROR(VLOOKUP(C29,Panel!$B$13:$C$19,2,FALSE),0))</f>
        <v/>
      </c>
      <c r="I29" s="22">
        <f>IF(F29="","",IF(OR(B29="",C29=""),"Completa día y franja",IF(COUNTIFS($B$8:$B$67,B29,$C$8:$C$67,C29,$F$8:$F$67,F29)&gt;1,"Duplicada",IF(COUNTIF($F$8:$F$67,F29)&gt;Profesorado!$C$6,"Excede máximo","OK"))))</f>
        <v/>
      </c>
      <c r="J29" s="29">
        <f>IF(OR(B29="",C29=""),"",B29&amp;"|"&amp;C29&amp;"|"&amp;COUNTIFS(B$8:B29,B29,C$8:C29,C29))</f>
        <v/>
      </c>
    </row>
    <row r="30">
      <c r="B30" s="12" t="inlineStr">
        <is>
          <t>Miércoles</t>
        </is>
      </c>
      <c r="C30" s="12" t="inlineStr">
        <is>
          <t>6ª hora</t>
        </is>
      </c>
      <c r="D30" s="12" t="inlineStr">
        <is>
          <t>Aula</t>
        </is>
      </c>
      <c r="E30" s="12" t="inlineStr">
        <is>
          <t>Sala de profesores</t>
        </is>
      </c>
      <c r="F30" s="12" t="inlineStr">
        <is>
          <t>Irene Molina</t>
        </is>
      </c>
      <c r="G30" s="17">
        <f>IF(F30="","",IFERROR(VLOOKUP(F30,Profesorado!$B$8:$C$27,2,FALSE),"?"))</f>
        <v/>
      </c>
      <c r="H30" s="18">
        <f>IF(C30="","",IFERROR(VLOOKUP(C30,Panel!$B$13:$C$19,2,FALSE),0))</f>
        <v/>
      </c>
      <c r="I30" s="22">
        <f>IF(F30="","",IF(OR(B30="",C30=""),"Completa día y franja",IF(COUNTIFS($B$8:$B$67,B30,$C$8:$C$67,C30,$F$8:$F$67,F30)&gt;1,"Duplicada",IF(COUNTIF($F$8:$F$67,F30)&gt;Profesorado!$C$6,"Excede máximo","OK"))))</f>
        <v/>
      </c>
      <c r="J30" s="29">
        <f>IF(OR(B30="",C30=""),"",B30&amp;"|"&amp;C30&amp;"|"&amp;COUNTIFS(B$8:B30,B30,C$8:C30,C30))</f>
        <v/>
      </c>
    </row>
    <row r="31">
      <c r="B31" s="12" t="inlineStr">
        <is>
          <t>Jueves</t>
        </is>
      </c>
      <c r="C31" s="12" t="inlineStr">
        <is>
          <t>1ª hora</t>
        </is>
      </c>
      <c r="D31" s="12" t="inlineStr">
        <is>
          <t>Aula</t>
        </is>
      </c>
      <c r="E31" s="12" t="inlineStr">
        <is>
          <t>Sala de profesores</t>
        </is>
      </c>
      <c r="F31" s="12" t="inlineStr">
        <is>
          <t>Hugo Blanco</t>
        </is>
      </c>
      <c r="G31" s="17">
        <f>IF(F31="","",IFERROR(VLOOKUP(F31,Profesorado!$B$8:$C$27,2,FALSE),"?"))</f>
        <v/>
      </c>
      <c r="H31" s="18">
        <f>IF(C31="","",IFERROR(VLOOKUP(C31,Panel!$B$13:$C$19,2,FALSE),0))</f>
        <v/>
      </c>
      <c r="I31" s="22">
        <f>IF(F31="","",IF(OR(B31="",C31=""),"Completa día y franja",IF(COUNTIFS($B$8:$B$67,B31,$C$8:$C$67,C31,$F$8:$F$67,F31)&gt;1,"Duplicada",IF(COUNTIF($F$8:$F$67,F31)&gt;Profesorado!$C$6,"Excede máximo","OK"))))</f>
        <v/>
      </c>
      <c r="J31" s="29">
        <f>IF(OR(B31="",C31=""),"",B31&amp;"|"&amp;C31&amp;"|"&amp;COUNTIFS(B$8:B31,B31,C$8:C31,C31))</f>
        <v/>
      </c>
    </row>
    <row r="32">
      <c r="B32" s="12" t="inlineStr">
        <is>
          <t>Jueves</t>
        </is>
      </c>
      <c r="C32" s="12" t="inlineStr">
        <is>
          <t>2ª hora</t>
        </is>
      </c>
      <c r="D32" s="12" t="inlineStr">
        <is>
          <t>Aula</t>
        </is>
      </c>
      <c r="E32" s="12" t="inlineStr">
        <is>
          <t>Sala de profesores</t>
        </is>
      </c>
      <c r="F32" s="12" t="inlineStr">
        <is>
          <t>Ana Martín</t>
        </is>
      </c>
      <c r="G32" s="17">
        <f>IF(F32="","",IFERROR(VLOOKUP(F32,Profesorado!$B$8:$C$27,2,FALSE),"?"))</f>
        <v/>
      </c>
      <c r="H32" s="18">
        <f>IF(C32="","",IFERROR(VLOOKUP(C32,Panel!$B$13:$C$19,2,FALSE),0))</f>
        <v/>
      </c>
      <c r="I32" s="22">
        <f>IF(F32="","",IF(OR(B32="",C32=""),"Completa día y franja",IF(COUNTIFS($B$8:$B$67,B32,$C$8:$C$67,C32,$F$8:$F$67,F32)&gt;1,"Duplicada",IF(COUNTIF($F$8:$F$67,F32)&gt;Profesorado!$C$6,"Excede máximo","OK"))))</f>
        <v/>
      </c>
      <c r="J32" s="29">
        <f>IF(OR(B32="",C32=""),"",B32&amp;"|"&amp;C32&amp;"|"&amp;COUNTIFS(B$8:B32,B32,C$8:C32,C32))</f>
        <v/>
      </c>
    </row>
    <row r="33">
      <c r="B33" s="12" t="inlineStr">
        <is>
          <t>Jueves</t>
        </is>
      </c>
      <c r="C33" s="12" t="inlineStr">
        <is>
          <t>3ª hora</t>
        </is>
      </c>
      <c r="D33" s="12" t="inlineStr">
        <is>
          <t>Aula</t>
        </is>
      </c>
      <c r="E33" s="12" t="inlineStr">
        <is>
          <t>Sala de profesores</t>
        </is>
      </c>
      <c r="F33" s="12" t="inlineStr">
        <is>
          <t>Luis Gómez</t>
        </is>
      </c>
      <c r="G33" s="17">
        <f>IF(F33="","",IFERROR(VLOOKUP(F33,Profesorado!$B$8:$C$27,2,FALSE),"?"))</f>
        <v/>
      </c>
      <c r="H33" s="18">
        <f>IF(C33="","",IFERROR(VLOOKUP(C33,Panel!$B$13:$C$19,2,FALSE),0))</f>
        <v/>
      </c>
      <c r="I33" s="22">
        <f>IF(F33="","",IF(OR(B33="",C33=""),"Completa día y franja",IF(COUNTIFS($B$8:$B$67,B33,$C$8:$C$67,C33,$F$8:$F$67,F33)&gt;1,"Duplicada",IF(COUNTIF($F$8:$F$67,F33)&gt;Profesorado!$C$6,"Excede máximo","OK"))))</f>
        <v/>
      </c>
      <c r="J33" s="29">
        <f>IF(OR(B33="",C33=""),"",B33&amp;"|"&amp;C33&amp;"|"&amp;COUNTIFS(B$8:B33,B33,C$8:C33,C33))</f>
        <v/>
      </c>
    </row>
    <row r="34">
      <c r="B34" s="12" t="inlineStr">
        <is>
          <t>Jueves</t>
        </is>
      </c>
      <c r="C34" s="12" t="inlineStr">
        <is>
          <t>Recreo</t>
        </is>
      </c>
      <c r="D34" s="12" t="inlineStr">
        <is>
          <t>Recreo</t>
        </is>
      </c>
      <c r="E34" s="12" t="inlineStr">
        <is>
          <t>Patio</t>
        </is>
      </c>
      <c r="F34" s="12" t="inlineStr">
        <is>
          <t>Marta Ruiz</t>
        </is>
      </c>
      <c r="G34" s="17">
        <f>IF(F34="","",IFERROR(VLOOKUP(F34,Profesorado!$B$8:$C$27,2,FALSE),"?"))</f>
        <v/>
      </c>
      <c r="H34" s="18">
        <f>IF(C34="","",IFERROR(VLOOKUP(C34,Panel!$B$13:$C$19,2,FALSE),0))</f>
        <v/>
      </c>
      <c r="I34" s="22">
        <f>IF(F34="","",IF(OR(B34="",C34=""),"Completa día y franja",IF(COUNTIFS($B$8:$B$67,B34,$C$8:$C$67,C34,$F$8:$F$67,F34)&gt;1,"Duplicada",IF(COUNTIF($F$8:$F$67,F34)&gt;Profesorado!$C$6,"Excede máximo","OK"))))</f>
        <v/>
      </c>
      <c r="J34" s="29">
        <f>IF(OR(B34="",C34=""),"",B34&amp;"|"&amp;C34&amp;"|"&amp;COUNTIFS(B$8:B34,B34,C$8:C34,C34))</f>
        <v/>
      </c>
    </row>
    <row r="35">
      <c r="B35" s="12" t="inlineStr">
        <is>
          <t>Jueves</t>
        </is>
      </c>
      <c r="C35" s="12" t="inlineStr">
        <is>
          <t>Recreo</t>
        </is>
      </c>
      <c r="D35" s="12" t="inlineStr">
        <is>
          <t>Recreo</t>
        </is>
      </c>
      <c r="E35" s="12" t="inlineStr">
        <is>
          <t>Patio</t>
        </is>
      </c>
      <c r="F35" s="12" t="inlineStr">
        <is>
          <t>Pablo Sanz</t>
        </is>
      </c>
      <c r="G35" s="17">
        <f>IF(F35="","",IFERROR(VLOOKUP(F35,Profesorado!$B$8:$C$27,2,FALSE),"?"))</f>
        <v/>
      </c>
      <c r="H35" s="18">
        <f>IF(C35="","",IFERROR(VLOOKUP(C35,Panel!$B$13:$C$19,2,FALSE),0))</f>
        <v/>
      </c>
      <c r="I35" s="22">
        <f>IF(F35="","",IF(OR(B35="",C35=""),"Completa día y franja",IF(COUNTIFS($B$8:$B$67,B35,$C$8:$C$67,C35,$F$8:$F$67,F35)&gt;1,"Duplicada",IF(COUNTIF($F$8:$F$67,F35)&gt;Profesorado!$C$6,"Excede máximo","OK"))))</f>
        <v/>
      </c>
      <c r="J35" s="29">
        <f>IF(OR(B35="",C35=""),"",B35&amp;"|"&amp;C35&amp;"|"&amp;COUNTIFS(B$8:B35,B35,C$8:C35,C35))</f>
        <v/>
      </c>
    </row>
    <row r="36">
      <c r="B36" s="12" t="inlineStr">
        <is>
          <t>Jueves</t>
        </is>
      </c>
      <c r="C36" s="12" t="inlineStr">
        <is>
          <t>4ª hora</t>
        </is>
      </c>
      <c r="D36" s="12" t="inlineStr">
        <is>
          <t>Aula</t>
        </is>
      </c>
      <c r="E36" s="12" t="inlineStr">
        <is>
          <t>Sala de profesores</t>
        </is>
      </c>
      <c r="F36" s="12" t="inlineStr">
        <is>
          <t>Ana Martín</t>
        </is>
      </c>
      <c r="G36" s="17">
        <f>IF(F36="","",IFERROR(VLOOKUP(F36,Profesorado!$B$8:$C$27,2,FALSE),"?"))</f>
        <v/>
      </c>
      <c r="H36" s="18">
        <f>IF(C36="","",IFERROR(VLOOKUP(C36,Panel!$B$13:$C$19,2,FALSE),0))</f>
        <v/>
      </c>
      <c r="I36" s="22">
        <f>IF(F36="","",IF(OR(B36="",C36=""),"Completa día y franja",IF(COUNTIFS($B$8:$B$67,B36,$C$8:$C$67,C36,$F$8:$F$67,F36)&gt;1,"Duplicada",IF(COUNTIF($F$8:$F$67,F36)&gt;Profesorado!$C$6,"Excede máximo","OK"))))</f>
        <v/>
      </c>
      <c r="J36" s="29">
        <f>IF(OR(B36="",C36=""),"",B36&amp;"|"&amp;C36&amp;"|"&amp;COUNTIFS(B$8:B36,B36,C$8:C36,C36))</f>
        <v/>
      </c>
    </row>
    <row r="37">
      <c r="B37" s="12" t="inlineStr">
        <is>
          <t>Jueves</t>
        </is>
      </c>
      <c r="C37" s="12" t="inlineStr">
        <is>
          <t>5ª hora</t>
        </is>
      </c>
      <c r="D37" s="12" t="inlineStr">
        <is>
          <t>Biblioteca</t>
        </is>
      </c>
      <c r="E37" s="12" t="inlineStr">
        <is>
          <t>Biblioteca</t>
        </is>
      </c>
      <c r="F37" s="12" t="inlineStr">
        <is>
          <t>Javier Díaz</t>
        </is>
      </c>
      <c r="G37" s="17">
        <f>IF(F37="","",IFERROR(VLOOKUP(F37,Profesorado!$B$8:$C$27,2,FALSE),"?"))</f>
        <v/>
      </c>
      <c r="H37" s="18">
        <f>IF(C37="","",IFERROR(VLOOKUP(C37,Panel!$B$13:$C$19,2,FALSE),0))</f>
        <v/>
      </c>
      <c r="I37" s="22">
        <f>IF(F37="","",IF(OR(B37="",C37=""),"Completa día y franja",IF(COUNTIFS($B$8:$B$67,B37,$C$8:$C$67,C37,$F$8:$F$67,F37)&gt;1,"Duplicada",IF(COUNTIF($F$8:$F$67,F37)&gt;Profesorado!$C$6,"Excede máximo","OK"))))</f>
        <v/>
      </c>
      <c r="J37" s="29">
        <f>IF(OR(B37="",C37=""),"",B37&amp;"|"&amp;C37&amp;"|"&amp;COUNTIFS(B$8:B37,B37,C$8:C37,C37))</f>
        <v/>
      </c>
    </row>
    <row r="38">
      <c r="B38" s="12" t="inlineStr">
        <is>
          <t>Viernes</t>
        </is>
      </c>
      <c r="C38" s="12" t="inlineStr">
        <is>
          <t>1ª hora</t>
        </is>
      </c>
      <c r="D38" s="12" t="inlineStr">
        <is>
          <t>Aula</t>
        </is>
      </c>
      <c r="E38" s="12" t="inlineStr">
        <is>
          <t>Sala de profesores</t>
        </is>
      </c>
      <c r="F38" s="12" t="inlineStr">
        <is>
          <t>Carmen Vidal</t>
        </is>
      </c>
      <c r="G38" s="17">
        <f>IF(F38="","",IFERROR(VLOOKUP(F38,Profesorado!$B$8:$C$27,2,FALSE),"?"))</f>
        <v/>
      </c>
      <c r="H38" s="18">
        <f>IF(C38="","",IFERROR(VLOOKUP(C38,Panel!$B$13:$C$19,2,FALSE),0))</f>
        <v/>
      </c>
      <c r="I38" s="22">
        <f>IF(F38="","",IF(OR(B38="",C38=""),"Completa día y franja",IF(COUNTIFS($B$8:$B$67,B38,$C$8:$C$67,C38,$F$8:$F$67,F38)&gt;1,"Duplicada",IF(COUNTIF($F$8:$F$67,F38)&gt;Profesorado!$C$6,"Excede máximo","OK"))))</f>
        <v/>
      </c>
      <c r="J38" s="29">
        <f>IF(OR(B38="",C38=""),"",B38&amp;"|"&amp;C38&amp;"|"&amp;COUNTIFS(B$8:B38,B38,C$8:C38,C38))</f>
        <v/>
      </c>
    </row>
    <row r="39">
      <c r="B39" s="12" t="inlineStr">
        <is>
          <t>Viernes</t>
        </is>
      </c>
      <c r="C39" s="12" t="inlineStr">
        <is>
          <t>2ª hora</t>
        </is>
      </c>
      <c r="D39" s="12" t="inlineStr">
        <is>
          <t>Aula</t>
        </is>
      </c>
      <c r="E39" s="12" t="inlineStr">
        <is>
          <t>Sala de profesores</t>
        </is>
      </c>
      <c r="F39" s="12" t="inlineStr">
        <is>
          <t>Raúl Ortega</t>
        </is>
      </c>
      <c r="G39" s="17">
        <f>IF(F39="","",IFERROR(VLOOKUP(F39,Profesorado!$B$8:$C$27,2,FALSE),"?"))</f>
        <v/>
      </c>
      <c r="H39" s="18">
        <f>IF(C39="","",IFERROR(VLOOKUP(C39,Panel!$B$13:$C$19,2,FALSE),0))</f>
        <v/>
      </c>
      <c r="I39" s="22">
        <f>IF(F39="","",IF(OR(B39="",C39=""),"Completa día y franja",IF(COUNTIFS($B$8:$B$67,B39,$C$8:$C$67,C39,$F$8:$F$67,F39)&gt;1,"Duplicada",IF(COUNTIF($F$8:$F$67,F39)&gt;Profesorado!$C$6,"Excede máximo","OK"))))</f>
        <v/>
      </c>
      <c r="J39" s="29">
        <f>IF(OR(B39="",C39=""),"",B39&amp;"|"&amp;C39&amp;"|"&amp;COUNTIFS(B$8:B39,B39,C$8:C39,C39))</f>
        <v/>
      </c>
    </row>
    <row r="40">
      <c r="B40" s="12" t="inlineStr">
        <is>
          <t>Viernes</t>
        </is>
      </c>
      <c r="C40" s="12" t="inlineStr">
        <is>
          <t>Recreo</t>
        </is>
      </c>
      <c r="D40" s="12" t="inlineStr">
        <is>
          <t>Recreo</t>
        </is>
      </c>
      <c r="E40" s="12" t="inlineStr">
        <is>
          <t>Patio</t>
        </is>
      </c>
      <c r="F40" s="12" t="inlineStr">
        <is>
          <t>Sofía Navarro</t>
        </is>
      </c>
      <c r="G40" s="17">
        <f>IF(F40="","",IFERROR(VLOOKUP(F40,Profesorado!$B$8:$C$27,2,FALSE),"?"))</f>
        <v/>
      </c>
      <c r="H40" s="18">
        <f>IF(C40="","",IFERROR(VLOOKUP(C40,Panel!$B$13:$C$19,2,FALSE),0))</f>
        <v/>
      </c>
      <c r="I40" s="22">
        <f>IF(F40="","",IF(OR(B40="",C40=""),"Completa día y franja",IF(COUNTIFS($B$8:$B$67,B40,$C$8:$C$67,C40,$F$8:$F$67,F40)&gt;1,"Duplicada",IF(COUNTIF($F$8:$F$67,F40)&gt;Profesorado!$C$6,"Excede máximo","OK"))))</f>
        <v/>
      </c>
      <c r="J40" s="29">
        <f>IF(OR(B40="",C40=""),"",B40&amp;"|"&amp;C40&amp;"|"&amp;COUNTIFS(B$8:B40,B40,C$8:C40,C40))</f>
        <v/>
      </c>
    </row>
    <row r="41">
      <c r="B41" s="12" t="inlineStr">
        <is>
          <t>Viernes</t>
        </is>
      </c>
      <c r="C41" s="12" t="inlineStr">
        <is>
          <t>4ª hora</t>
        </is>
      </c>
      <c r="D41" s="12" t="inlineStr">
        <is>
          <t>Aula</t>
        </is>
      </c>
      <c r="E41" s="12" t="inlineStr">
        <is>
          <t>Sala de profesores</t>
        </is>
      </c>
      <c r="F41" s="12" t="inlineStr">
        <is>
          <t>Daniel Cano</t>
        </is>
      </c>
      <c r="G41" s="17">
        <f>IF(F41="","",IFERROR(VLOOKUP(F41,Profesorado!$B$8:$C$27,2,FALSE),"?"))</f>
        <v/>
      </c>
      <c r="H41" s="18">
        <f>IF(C41="","",IFERROR(VLOOKUP(C41,Panel!$B$13:$C$19,2,FALSE),0))</f>
        <v/>
      </c>
      <c r="I41" s="22">
        <f>IF(F41="","",IF(OR(B41="",C41=""),"Completa día y franja",IF(COUNTIFS($B$8:$B$67,B41,$C$8:$C$67,C41,$F$8:$F$67,F41)&gt;1,"Duplicada",IF(COUNTIF($F$8:$F$67,F41)&gt;Profesorado!$C$6,"Excede máximo","OK"))))</f>
        <v/>
      </c>
      <c r="J41" s="29">
        <f>IF(OR(B41="",C41=""),"",B41&amp;"|"&amp;C41&amp;"|"&amp;COUNTIFS(B$8:B41,B41,C$8:C41,C41))</f>
        <v/>
      </c>
    </row>
    <row r="42">
      <c r="B42" s="12" t="inlineStr">
        <is>
          <t>Viernes</t>
        </is>
      </c>
      <c r="C42" s="12" t="inlineStr">
        <is>
          <t>5ª hora</t>
        </is>
      </c>
      <c r="D42" s="12" t="inlineStr">
        <is>
          <t>Aula</t>
        </is>
      </c>
      <c r="E42" s="12" t="inlineStr">
        <is>
          <t>Sala de profesores</t>
        </is>
      </c>
      <c r="F42" s="12" t="inlineStr">
        <is>
          <t>Ana Martín</t>
        </is>
      </c>
      <c r="G42" s="17">
        <f>IF(F42="","",IFERROR(VLOOKUP(F42,Profesorado!$B$8:$C$27,2,FALSE),"?"))</f>
        <v/>
      </c>
      <c r="H42" s="18">
        <f>IF(C42="","",IFERROR(VLOOKUP(C42,Panel!$B$13:$C$19,2,FALSE),0))</f>
        <v/>
      </c>
      <c r="I42" s="22">
        <f>IF(F42="","",IF(OR(B42="",C42=""),"Completa día y franja",IF(COUNTIFS($B$8:$B$67,B42,$C$8:$C$67,C42,$F$8:$F$67,F42)&gt;1,"Duplicada",IF(COUNTIF($F$8:$F$67,F42)&gt;Profesorado!$C$6,"Excede máximo","OK"))))</f>
        <v/>
      </c>
      <c r="J42" s="29">
        <f>IF(OR(B42="",C42=""),"",B42&amp;"|"&amp;C42&amp;"|"&amp;COUNTIFS(B$8:B42,B42,C$8:C42,C42))</f>
        <v/>
      </c>
    </row>
    <row r="43">
      <c r="B43" s="12" t="inlineStr">
        <is>
          <t>Viernes</t>
        </is>
      </c>
      <c r="C43" s="12" t="inlineStr">
        <is>
          <t>6ª hora</t>
        </is>
      </c>
      <c r="D43" s="12" t="inlineStr">
        <is>
          <t>Aula</t>
        </is>
      </c>
      <c r="E43" s="12" t="inlineStr">
        <is>
          <t>Sala de profesores</t>
        </is>
      </c>
      <c r="F43" s="12" t="inlineStr">
        <is>
          <t>Hugo Blanco</t>
        </is>
      </c>
      <c r="G43" s="17">
        <f>IF(F43="","",IFERROR(VLOOKUP(F43,Profesorado!$B$8:$C$27,2,FALSE),"?"))</f>
        <v/>
      </c>
      <c r="H43" s="18">
        <f>IF(C43="","",IFERROR(VLOOKUP(C43,Panel!$B$13:$C$19,2,FALSE),0))</f>
        <v/>
      </c>
      <c r="I43" s="22">
        <f>IF(F43="","",IF(OR(B43="",C43=""),"Completa día y franja",IF(COUNTIFS($B$8:$B$67,B43,$C$8:$C$67,C43,$F$8:$F$67,F43)&gt;1,"Duplicada",IF(COUNTIF($F$8:$F$67,F43)&gt;Profesorado!$C$6,"Excede máximo","OK"))))</f>
        <v/>
      </c>
      <c r="J43" s="29">
        <f>IF(OR(B43="",C43=""),"",B43&amp;"|"&amp;C43&amp;"|"&amp;COUNTIFS(B$8:B43,B43,C$8:C43,C43))</f>
        <v/>
      </c>
    </row>
    <row r="44">
      <c r="B44" s="12" t="n"/>
      <c r="C44" s="12" t="n"/>
      <c r="D44" s="12" t="n"/>
      <c r="E44" s="12" t="n"/>
      <c r="F44" s="12" t="n"/>
      <c r="G44" s="17">
        <f>IF(F44="","",IFERROR(VLOOKUP(F44,Profesorado!$B$8:$C$27,2,FALSE),"?"))</f>
        <v/>
      </c>
      <c r="H44" s="18">
        <f>IF(C44="","",IFERROR(VLOOKUP(C44,Panel!$B$13:$C$19,2,FALSE),0))</f>
        <v/>
      </c>
      <c r="I44" s="22">
        <f>IF(F44="","",IF(OR(B44="",C44=""),"Completa día y franja",IF(COUNTIFS($B$8:$B$67,B44,$C$8:$C$67,C44,$F$8:$F$67,F44)&gt;1,"Duplicada",IF(COUNTIF($F$8:$F$67,F44)&gt;Profesorado!$C$6,"Excede máximo","OK"))))</f>
        <v/>
      </c>
      <c r="J44" s="29">
        <f>IF(OR(B44="",C44=""),"",B44&amp;"|"&amp;C44&amp;"|"&amp;COUNTIFS(B$8:B44,B44,C$8:C44,C44))</f>
        <v/>
      </c>
    </row>
    <row r="45">
      <c r="B45" s="12" t="n"/>
      <c r="C45" s="12" t="n"/>
      <c r="D45" s="12" t="n"/>
      <c r="E45" s="12" t="n"/>
      <c r="F45" s="12" t="n"/>
      <c r="G45" s="17">
        <f>IF(F45="","",IFERROR(VLOOKUP(F45,Profesorado!$B$8:$C$27,2,FALSE),"?"))</f>
        <v/>
      </c>
      <c r="H45" s="18">
        <f>IF(C45="","",IFERROR(VLOOKUP(C45,Panel!$B$13:$C$19,2,FALSE),0))</f>
        <v/>
      </c>
      <c r="I45" s="22">
        <f>IF(F45="","",IF(OR(B45="",C45=""),"Completa día y franja",IF(COUNTIFS($B$8:$B$67,B45,$C$8:$C$67,C45,$F$8:$F$67,F45)&gt;1,"Duplicada",IF(COUNTIF($F$8:$F$67,F45)&gt;Profesorado!$C$6,"Excede máximo","OK"))))</f>
        <v/>
      </c>
      <c r="J45" s="29">
        <f>IF(OR(B45="",C45=""),"",B45&amp;"|"&amp;C45&amp;"|"&amp;COUNTIFS(B$8:B45,B45,C$8:C45,C45))</f>
        <v/>
      </c>
    </row>
    <row r="46">
      <c r="B46" s="12" t="n"/>
      <c r="C46" s="12" t="n"/>
      <c r="D46" s="12" t="n"/>
      <c r="E46" s="12" t="n"/>
      <c r="F46" s="12" t="n"/>
      <c r="G46" s="17">
        <f>IF(F46="","",IFERROR(VLOOKUP(F46,Profesorado!$B$8:$C$27,2,FALSE),"?"))</f>
        <v/>
      </c>
      <c r="H46" s="18">
        <f>IF(C46="","",IFERROR(VLOOKUP(C46,Panel!$B$13:$C$19,2,FALSE),0))</f>
        <v/>
      </c>
      <c r="I46" s="22">
        <f>IF(F46="","",IF(OR(B46="",C46=""),"Completa día y franja",IF(COUNTIFS($B$8:$B$67,B46,$C$8:$C$67,C46,$F$8:$F$67,F46)&gt;1,"Duplicada",IF(COUNTIF($F$8:$F$67,F46)&gt;Profesorado!$C$6,"Excede máximo","OK"))))</f>
        <v/>
      </c>
      <c r="J46" s="29">
        <f>IF(OR(B46="",C46=""),"",B46&amp;"|"&amp;C46&amp;"|"&amp;COUNTIFS(B$8:B46,B46,C$8:C46,C46))</f>
        <v/>
      </c>
    </row>
    <row r="47">
      <c r="B47" s="12" t="n"/>
      <c r="C47" s="12" t="n"/>
      <c r="D47" s="12" t="n"/>
      <c r="E47" s="12" t="n"/>
      <c r="F47" s="12" t="n"/>
      <c r="G47" s="17">
        <f>IF(F47="","",IFERROR(VLOOKUP(F47,Profesorado!$B$8:$C$27,2,FALSE),"?"))</f>
        <v/>
      </c>
      <c r="H47" s="18">
        <f>IF(C47="","",IFERROR(VLOOKUP(C47,Panel!$B$13:$C$19,2,FALSE),0))</f>
        <v/>
      </c>
      <c r="I47" s="22">
        <f>IF(F47="","",IF(OR(B47="",C47=""),"Completa día y franja",IF(COUNTIFS($B$8:$B$67,B47,$C$8:$C$67,C47,$F$8:$F$67,F47)&gt;1,"Duplicada",IF(COUNTIF($F$8:$F$67,F47)&gt;Profesorado!$C$6,"Excede máximo","OK"))))</f>
        <v/>
      </c>
      <c r="J47" s="29">
        <f>IF(OR(B47="",C47=""),"",B47&amp;"|"&amp;C47&amp;"|"&amp;COUNTIFS(B$8:B47,B47,C$8:C47,C47))</f>
        <v/>
      </c>
    </row>
    <row r="48">
      <c r="B48" s="12" t="n"/>
      <c r="C48" s="12" t="n"/>
      <c r="D48" s="12" t="n"/>
      <c r="E48" s="12" t="n"/>
      <c r="F48" s="12" t="n"/>
      <c r="G48" s="17">
        <f>IF(F48="","",IFERROR(VLOOKUP(F48,Profesorado!$B$8:$C$27,2,FALSE),"?"))</f>
        <v/>
      </c>
      <c r="H48" s="18">
        <f>IF(C48="","",IFERROR(VLOOKUP(C48,Panel!$B$13:$C$19,2,FALSE),0))</f>
        <v/>
      </c>
      <c r="I48" s="22">
        <f>IF(F48="","",IF(OR(B48="",C48=""),"Completa día y franja",IF(COUNTIFS($B$8:$B$67,B48,$C$8:$C$67,C48,$F$8:$F$67,F48)&gt;1,"Duplicada",IF(COUNTIF($F$8:$F$67,F48)&gt;Profesorado!$C$6,"Excede máximo","OK"))))</f>
        <v/>
      </c>
      <c r="J48" s="29">
        <f>IF(OR(B48="",C48=""),"",B48&amp;"|"&amp;C48&amp;"|"&amp;COUNTIFS(B$8:B48,B48,C$8:C48,C48))</f>
        <v/>
      </c>
    </row>
    <row r="49">
      <c r="B49" s="12" t="n"/>
      <c r="C49" s="12" t="n"/>
      <c r="D49" s="12" t="n"/>
      <c r="E49" s="12" t="n"/>
      <c r="F49" s="12" t="n"/>
      <c r="G49" s="17">
        <f>IF(F49="","",IFERROR(VLOOKUP(F49,Profesorado!$B$8:$C$27,2,FALSE),"?"))</f>
        <v/>
      </c>
      <c r="H49" s="18">
        <f>IF(C49="","",IFERROR(VLOOKUP(C49,Panel!$B$13:$C$19,2,FALSE),0))</f>
        <v/>
      </c>
      <c r="I49" s="22">
        <f>IF(F49="","",IF(OR(B49="",C49=""),"Completa día y franja",IF(COUNTIFS($B$8:$B$67,B49,$C$8:$C$67,C49,$F$8:$F$67,F49)&gt;1,"Duplicada",IF(COUNTIF($F$8:$F$67,F49)&gt;Profesorado!$C$6,"Excede máximo","OK"))))</f>
        <v/>
      </c>
      <c r="J49" s="29">
        <f>IF(OR(B49="",C49=""),"",B49&amp;"|"&amp;C49&amp;"|"&amp;COUNTIFS(B$8:B49,B49,C$8:C49,C49))</f>
        <v/>
      </c>
    </row>
    <row r="50">
      <c r="B50" s="12" t="n"/>
      <c r="C50" s="12" t="n"/>
      <c r="D50" s="12" t="n"/>
      <c r="E50" s="12" t="n"/>
      <c r="F50" s="12" t="n"/>
      <c r="G50" s="17">
        <f>IF(F50="","",IFERROR(VLOOKUP(F50,Profesorado!$B$8:$C$27,2,FALSE),"?"))</f>
        <v/>
      </c>
      <c r="H50" s="18">
        <f>IF(C50="","",IFERROR(VLOOKUP(C50,Panel!$B$13:$C$19,2,FALSE),0))</f>
        <v/>
      </c>
      <c r="I50" s="22">
        <f>IF(F50="","",IF(OR(B50="",C50=""),"Completa día y franja",IF(COUNTIFS($B$8:$B$67,B50,$C$8:$C$67,C50,$F$8:$F$67,F50)&gt;1,"Duplicada",IF(COUNTIF($F$8:$F$67,F50)&gt;Profesorado!$C$6,"Excede máximo","OK"))))</f>
        <v/>
      </c>
      <c r="J50" s="29">
        <f>IF(OR(B50="",C50=""),"",B50&amp;"|"&amp;C50&amp;"|"&amp;COUNTIFS(B$8:B50,B50,C$8:C50,C50))</f>
        <v/>
      </c>
    </row>
    <row r="51">
      <c r="B51" s="12" t="n"/>
      <c r="C51" s="12" t="n"/>
      <c r="D51" s="12" t="n"/>
      <c r="E51" s="12" t="n"/>
      <c r="F51" s="12" t="n"/>
      <c r="G51" s="17">
        <f>IF(F51="","",IFERROR(VLOOKUP(F51,Profesorado!$B$8:$C$27,2,FALSE),"?"))</f>
        <v/>
      </c>
      <c r="H51" s="18">
        <f>IF(C51="","",IFERROR(VLOOKUP(C51,Panel!$B$13:$C$19,2,FALSE),0))</f>
        <v/>
      </c>
      <c r="I51" s="22">
        <f>IF(F51="","",IF(OR(B51="",C51=""),"Completa día y franja",IF(COUNTIFS($B$8:$B$67,B51,$C$8:$C$67,C51,$F$8:$F$67,F51)&gt;1,"Duplicada",IF(COUNTIF($F$8:$F$67,F51)&gt;Profesorado!$C$6,"Excede máximo","OK"))))</f>
        <v/>
      </c>
      <c r="J51" s="29">
        <f>IF(OR(B51="",C51=""),"",B51&amp;"|"&amp;C51&amp;"|"&amp;COUNTIFS(B$8:B51,B51,C$8:C51,C51))</f>
        <v/>
      </c>
    </row>
    <row r="52">
      <c r="B52" s="12" t="n"/>
      <c r="C52" s="12" t="n"/>
      <c r="D52" s="12" t="n"/>
      <c r="E52" s="12" t="n"/>
      <c r="F52" s="12" t="n"/>
      <c r="G52" s="17">
        <f>IF(F52="","",IFERROR(VLOOKUP(F52,Profesorado!$B$8:$C$27,2,FALSE),"?"))</f>
        <v/>
      </c>
      <c r="H52" s="18">
        <f>IF(C52="","",IFERROR(VLOOKUP(C52,Panel!$B$13:$C$19,2,FALSE),0))</f>
        <v/>
      </c>
      <c r="I52" s="22">
        <f>IF(F52="","",IF(OR(B52="",C52=""),"Completa día y franja",IF(COUNTIFS($B$8:$B$67,B52,$C$8:$C$67,C52,$F$8:$F$67,F52)&gt;1,"Duplicada",IF(COUNTIF($F$8:$F$67,F52)&gt;Profesorado!$C$6,"Excede máximo","OK"))))</f>
        <v/>
      </c>
      <c r="J52" s="29">
        <f>IF(OR(B52="",C52=""),"",B52&amp;"|"&amp;C52&amp;"|"&amp;COUNTIFS(B$8:B52,B52,C$8:C52,C52))</f>
        <v/>
      </c>
    </row>
    <row r="53">
      <c r="B53" s="12" t="n"/>
      <c r="C53" s="12" t="n"/>
      <c r="D53" s="12" t="n"/>
      <c r="E53" s="12" t="n"/>
      <c r="F53" s="12" t="n"/>
      <c r="G53" s="17">
        <f>IF(F53="","",IFERROR(VLOOKUP(F53,Profesorado!$B$8:$C$27,2,FALSE),"?"))</f>
        <v/>
      </c>
      <c r="H53" s="18">
        <f>IF(C53="","",IFERROR(VLOOKUP(C53,Panel!$B$13:$C$19,2,FALSE),0))</f>
        <v/>
      </c>
      <c r="I53" s="22">
        <f>IF(F53="","",IF(OR(B53="",C53=""),"Completa día y franja",IF(COUNTIFS($B$8:$B$67,B53,$C$8:$C$67,C53,$F$8:$F$67,F53)&gt;1,"Duplicada",IF(COUNTIF($F$8:$F$67,F53)&gt;Profesorado!$C$6,"Excede máximo","OK"))))</f>
        <v/>
      </c>
      <c r="J53" s="29">
        <f>IF(OR(B53="",C53=""),"",B53&amp;"|"&amp;C53&amp;"|"&amp;COUNTIFS(B$8:B53,B53,C$8:C53,C53))</f>
        <v/>
      </c>
    </row>
    <row r="54">
      <c r="B54" s="12" t="n"/>
      <c r="C54" s="12" t="n"/>
      <c r="D54" s="12" t="n"/>
      <c r="E54" s="12" t="n"/>
      <c r="F54" s="12" t="n"/>
      <c r="G54" s="17">
        <f>IF(F54="","",IFERROR(VLOOKUP(F54,Profesorado!$B$8:$C$27,2,FALSE),"?"))</f>
        <v/>
      </c>
      <c r="H54" s="18">
        <f>IF(C54="","",IFERROR(VLOOKUP(C54,Panel!$B$13:$C$19,2,FALSE),0))</f>
        <v/>
      </c>
      <c r="I54" s="22">
        <f>IF(F54="","",IF(OR(B54="",C54=""),"Completa día y franja",IF(COUNTIFS($B$8:$B$67,B54,$C$8:$C$67,C54,$F$8:$F$67,F54)&gt;1,"Duplicada",IF(COUNTIF($F$8:$F$67,F54)&gt;Profesorado!$C$6,"Excede máximo","OK"))))</f>
        <v/>
      </c>
      <c r="J54" s="29">
        <f>IF(OR(B54="",C54=""),"",B54&amp;"|"&amp;C54&amp;"|"&amp;COUNTIFS(B$8:B54,B54,C$8:C54,C54))</f>
        <v/>
      </c>
    </row>
    <row r="55">
      <c r="B55" s="12" t="n"/>
      <c r="C55" s="12" t="n"/>
      <c r="D55" s="12" t="n"/>
      <c r="E55" s="12" t="n"/>
      <c r="F55" s="12" t="n"/>
      <c r="G55" s="17">
        <f>IF(F55="","",IFERROR(VLOOKUP(F55,Profesorado!$B$8:$C$27,2,FALSE),"?"))</f>
        <v/>
      </c>
      <c r="H55" s="18">
        <f>IF(C55="","",IFERROR(VLOOKUP(C55,Panel!$B$13:$C$19,2,FALSE),0))</f>
        <v/>
      </c>
      <c r="I55" s="22">
        <f>IF(F55="","",IF(OR(B55="",C55=""),"Completa día y franja",IF(COUNTIFS($B$8:$B$67,B55,$C$8:$C$67,C55,$F$8:$F$67,F55)&gt;1,"Duplicada",IF(COUNTIF($F$8:$F$67,F55)&gt;Profesorado!$C$6,"Excede máximo","OK"))))</f>
        <v/>
      </c>
      <c r="J55" s="29">
        <f>IF(OR(B55="",C55=""),"",B55&amp;"|"&amp;C55&amp;"|"&amp;COUNTIFS(B$8:B55,B55,C$8:C55,C55))</f>
        <v/>
      </c>
    </row>
    <row r="56">
      <c r="B56" s="12" t="n"/>
      <c r="C56" s="12" t="n"/>
      <c r="D56" s="12" t="n"/>
      <c r="E56" s="12" t="n"/>
      <c r="F56" s="12" t="n"/>
      <c r="G56" s="17">
        <f>IF(F56="","",IFERROR(VLOOKUP(F56,Profesorado!$B$8:$C$27,2,FALSE),"?"))</f>
        <v/>
      </c>
      <c r="H56" s="18">
        <f>IF(C56="","",IFERROR(VLOOKUP(C56,Panel!$B$13:$C$19,2,FALSE),0))</f>
        <v/>
      </c>
      <c r="I56" s="22">
        <f>IF(F56="","",IF(OR(B56="",C56=""),"Completa día y franja",IF(COUNTIFS($B$8:$B$67,B56,$C$8:$C$67,C56,$F$8:$F$67,F56)&gt;1,"Duplicada",IF(COUNTIF($F$8:$F$67,F56)&gt;Profesorado!$C$6,"Excede máximo","OK"))))</f>
        <v/>
      </c>
      <c r="J56" s="29">
        <f>IF(OR(B56="",C56=""),"",B56&amp;"|"&amp;C56&amp;"|"&amp;COUNTIFS(B$8:B56,B56,C$8:C56,C56))</f>
        <v/>
      </c>
    </row>
    <row r="57">
      <c r="B57" s="12" t="n"/>
      <c r="C57" s="12" t="n"/>
      <c r="D57" s="12" t="n"/>
      <c r="E57" s="12" t="n"/>
      <c r="F57" s="12" t="n"/>
      <c r="G57" s="17">
        <f>IF(F57="","",IFERROR(VLOOKUP(F57,Profesorado!$B$8:$C$27,2,FALSE),"?"))</f>
        <v/>
      </c>
      <c r="H57" s="18">
        <f>IF(C57="","",IFERROR(VLOOKUP(C57,Panel!$B$13:$C$19,2,FALSE),0))</f>
        <v/>
      </c>
      <c r="I57" s="22">
        <f>IF(F57="","",IF(OR(B57="",C57=""),"Completa día y franja",IF(COUNTIFS($B$8:$B$67,B57,$C$8:$C$67,C57,$F$8:$F$67,F57)&gt;1,"Duplicada",IF(COUNTIF($F$8:$F$67,F57)&gt;Profesorado!$C$6,"Excede máximo","OK"))))</f>
        <v/>
      </c>
      <c r="J57" s="29">
        <f>IF(OR(B57="",C57=""),"",B57&amp;"|"&amp;C57&amp;"|"&amp;COUNTIFS(B$8:B57,B57,C$8:C57,C57))</f>
        <v/>
      </c>
    </row>
    <row r="58">
      <c r="B58" s="12" t="n"/>
      <c r="C58" s="12" t="n"/>
      <c r="D58" s="12" t="n"/>
      <c r="E58" s="12" t="n"/>
      <c r="F58" s="12" t="n"/>
      <c r="G58" s="17">
        <f>IF(F58="","",IFERROR(VLOOKUP(F58,Profesorado!$B$8:$C$27,2,FALSE),"?"))</f>
        <v/>
      </c>
      <c r="H58" s="18">
        <f>IF(C58="","",IFERROR(VLOOKUP(C58,Panel!$B$13:$C$19,2,FALSE),0))</f>
        <v/>
      </c>
      <c r="I58" s="22">
        <f>IF(F58="","",IF(OR(B58="",C58=""),"Completa día y franja",IF(COUNTIFS($B$8:$B$67,B58,$C$8:$C$67,C58,$F$8:$F$67,F58)&gt;1,"Duplicada",IF(COUNTIF($F$8:$F$67,F58)&gt;Profesorado!$C$6,"Excede máximo","OK"))))</f>
        <v/>
      </c>
      <c r="J58" s="29">
        <f>IF(OR(B58="",C58=""),"",B58&amp;"|"&amp;C58&amp;"|"&amp;COUNTIFS(B$8:B58,B58,C$8:C58,C58))</f>
        <v/>
      </c>
    </row>
    <row r="59">
      <c r="B59" s="12" t="n"/>
      <c r="C59" s="12" t="n"/>
      <c r="D59" s="12" t="n"/>
      <c r="E59" s="12" t="n"/>
      <c r="F59" s="12" t="n"/>
      <c r="G59" s="17">
        <f>IF(F59="","",IFERROR(VLOOKUP(F59,Profesorado!$B$8:$C$27,2,FALSE),"?"))</f>
        <v/>
      </c>
      <c r="H59" s="18">
        <f>IF(C59="","",IFERROR(VLOOKUP(C59,Panel!$B$13:$C$19,2,FALSE),0))</f>
        <v/>
      </c>
      <c r="I59" s="22">
        <f>IF(F59="","",IF(OR(B59="",C59=""),"Completa día y franja",IF(COUNTIFS($B$8:$B$67,B59,$C$8:$C$67,C59,$F$8:$F$67,F59)&gt;1,"Duplicada",IF(COUNTIF($F$8:$F$67,F59)&gt;Profesorado!$C$6,"Excede máximo","OK"))))</f>
        <v/>
      </c>
      <c r="J59" s="29">
        <f>IF(OR(B59="",C59=""),"",B59&amp;"|"&amp;C59&amp;"|"&amp;COUNTIFS(B$8:B59,B59,C$8:C59,C59))</f>
        <v/>
      </c>
    </row>
    <row r="60">
      <c r="B60" s="12" t="n"/>
      <c r="C60" s="12" t="n"/>
      <c r="D60" s="12" t="n"/>
      <c r="E60" s="12" t="n"/>
      <c r="F60" s="12" t="n"/>
      <c r="G60" s="17">
        <f>IF(F60="","",IFERROR(VLOOKUP(F60,Profesorado!$B$8:$C$27,2,FALSE),"?"))</f>
        <v/>
      </c>
      <c r="H60" s="18">
        <f>IF(C60="","",IFERROR(VLOOKUP(C60,Panel!$B$13:$C$19,2,FALSE),0))</f>
        <v/>
      </c>
      <c r="I60" s="22">
        <f>IF(F60="","",IF(OR(B60="",C60=""),"Completa día y franja",IF(COUNTIFS($B$8:$B$67,B60,$C$8:$C$67,C60,$F$8:$F$67,F60)&gt;1,"Duplicada",IF(COUNTIF($F$8:$F$67,F60)&gt;Profesorado!$C$6,"Excede máximo","OK"))))</f>
        <v/>
      </c>
      <c r="J60" s="29">
        <f>IF(OR(B60="",C60=""),"",B60&amp;"|"&amp;C60&amp;"|"&amp;COUNTIFS(B$8:B60,B60,C$8:C60,C60))</f>
        <v/>
      </c>
    </row>
    <row r="61">
      <c r="B61" s="12" t="n"/>
      <c r="C61" s="12" t="n"/>
      <c r="D61" s="12" t="n"/>
      <c r="E61" s="12" t="n"/>
      <c r="F61" s="12" t="n"/>
      <c r="G61" s="17">
        <f>IF(F61="","",IFERROR(VLOOKUP(F61,Profesorado!$B$8:$C$27,2,FALSE),"?"))</f>
        <v/>
      </c>
      <c r="H61" s="18">
        <f>IF(C61="","",IFERROR(VLOOKUP(C61,Panel!$B$13:$C$19,2,FALSE),0))</f>
        <v/>
      </c>
      <c r="I61" s="22">
        <f>IF(F61="","",IF(OR(B61="",C61=""),"Completa día y franja",IF(COUNTIFS($B$8:$B$67,B61,$C$8:$C$67,C61,$F$8:$F$67,F61)&gt;1,"Duplicada",IF(COUNTIF($F$8:$F$67,F61)&gt;Profesorado!$C$6,"Excede máximo","OK"))))</f>
        <v/>
      </c>
      <c r="J61" s="29">
        <f>IF(OR(B61="",C61=""),"",B61&amp;"|"&amp;C61&amp;"|"&amp;COUNTIFS(B$8:B61,B61,C$8:C61,C61))</f>
        <v/>
      </c>
    </row>
    <row r="62">
      <c r="B62" s="12" t="n"/>
      <c r="C62" s="12" t="n"/>
      <c r="D62" s="12" t="n"/>
      <c r="E62" s="12" t="n"/>
      <c r="F62" s="12" t="n"/>
      <c r="G62" s="17">
        <f>IF(F62="","",IFERROR(VLOOKUP(F62,Profesorado!$B$8:$C$27,2,FALSE),"?"))</f>
        <v/>
      </c>
      <c r="H62" s="18">
        <f>IF(C62="","",IFERROR(VLOOKUP(C62,Panel!$B$13:$C$19,2,FALSE),0))</f>
        <v/>
      </c>
      <c r="I62" s="22">
        <f>IF(F62="","",IF(OR(B62="",C62=""),"Completa día y franja",IF(COUNTIFS($B$8:$B$67,B62,$C$8:$C$67,C62,$F$8:$F$67,F62)&gt;1,"Duplicada",IF(COUNTIF($F$8:$F$67,F62)&gt;Profesorado!$C$6,"Excede máximo","OK"))))</f>
        <v/>
      </c>
      <c r="J62" s="29">
        <f>IF(OR(B62="",C62=""),"",B62&amp;"|"&amp;C62&amp;"|"&amp;COUNTIFS(B$8:B62,B62,C$8:C62,C62))</f>
        <v/>
      </c>
    </row>
    <row r="63">
      <c r="B63" s="12" t="n"/>
      <c r="C63" s="12" t="n"/>
      <c r="D63" s="12" t="n"/>
      <c r="E63" s="12" t="n"/>
      <c r="F63" s="12" t="n"/>
      <c r="G63" s="17">
        <f>IF(F63="","",IFERROR(VLOOKUP(F63,Profesorado!$B$8:$C$27,2,FALSE),"?"))</f>
        <v/>
      </c>
      <c r="H63" s="18">
        <f>IF(C63="","",IFERROR(VLOOKUP(C63,Panel!$B$13:$C$19,2,FALSE),0))</f>
        <v/>
      </c>
      <c r="I63" s="22">
        <f>IF(F63="","",IF(OR(B63="",C63=""),"Completa día y franja",IF(COUNTIFS($B$8:$B$67,B63,$C$8:$C$67,C63,$F$8:$F$67,F63)&gt;1,"Duplicada",IF(COUNTIF($F$8:$F$67,F63)&gt;Profesorado!$C$6,"Excede máximo","OK"))))</f>
        <v/>
      </c>
      <c r="J63" s="29">
        <f>IF(OR(B63="",C63=""),"",B63&amp;"|"&amp;C63&amp;"|"&amp;COUNTIFS(B$8:B63,B63,C$8:C63,C63))</f>
        <v/>
      </c>
    </row>
    <row r="64">
      <c r="B64" s="12" t="n"/>
      <c r="C64" s="12" t="n"/>
      <c r="D64" s="12" t="n"/>
      <c r="E64" s="12" t="n"/>
      <c r="F64" s="12" t="n"/>
      <c r="G64" s="17">
        <f>IF(F64="","",IFERROR(VLOOKUP(F64,Profesorado!$B$8:$C$27,2,FALSE),"?"))</f>
        <v/>
      </c>
      <c r="H64" s="18">
        <f>IF(C64="","",IFERROR(VLOOKUP(C64,Panel!$B$13:$C$19,2,FALSE),0))</f>
        <v/>
      </c>
      <c r="I64" s="22">
        <f>IF(F64="","",IF(OR(B64="",C64=""),"Completa día y franja",IF(COUNTIFS($B$8:$B$67,B64,$C$8:$C$67,C64,$F$8:$F$67,F64)&gt;1,"Duplicada",IF(COUNTIF($F$8:$F$67,F64)&gt;Profesorado!$C$6,"Excede máximo","OK"))))</f>
        <v/>
      </c>
      <c r="J64" s="29">
        <f>IF(OR(B64="",C64=""),"",B64&amp;"|"&amp;C64&amp;"|"&amp;COUNTIFS(B$8:B64,B64,C$8:C64,C64))</f>
        <v/>
      </c>
    </row>
    <row r="65">
      <c r="B65" s="12" t="n"/>
      <c r="C65" s="12" t="n"/>
      <c r="D65" s="12" t="n"/>
      <c r="E65" s="12" t="n"/>
      <c r="F65" s="12" t="n"/>
      <c r="G65" s="17">
        <f>IF(F65="","",IFERROR(VLOOKUP(F65,Profesorado!$B$8:$C$27,2,FALSE),"?"))</f>
        <v/>
      </c>
      <c r="H65" s="18">
        <f>IF(C65="","",IFERROR(VLOOKUP(C65,Panel!$B$13:$C$19,2,FALSE),0))</f>
        <v/>
      </c>
      <c r="I65" s="22">
        <f>IF(F65="","",IF(OR(B65="",C65=""),"Completa día y franja",IF(COUNTIFS($B$8:$B$67,B65,$C$8:$C$67,C65,$F$8:$F$67,F65)&gt;1,"Duplicada",IF(COUNTIF($F$8:$F$67,F65)&gt;Profesorado!$C$6,"Excede máximo","OK"))))</f>
        <v/>
      </c>
      <c r="J65" s="29">
        <f>IF(OR(B65="",C65=""),"",B65&amp;"|"&amp;C65&amp;"|"&amp;COUNTIFS(B$8:B65,B65,C$8:C65,C65))</f>
        <v/>
      </c>
    </row>
    <row r="66">
      <c r="B66" s="12" t="n"/>
      <c r="C66" s="12" t="n"/>
      <c r="D66" s="12" t="n"/>
      <c r="E66" s="12" t="n"/>
      <c r="F66" s="12" t="n"/>
      <c r="G66" s="17">
        <f>IF(F66="","",IFERROR(VLOOKUP(F66,Profesorado!$B$8:$C$27,2,FALSE),"?"))</f>
        <v/>
      </c>
      <c r="H66" s="18">
        <f>IF(C66="","",IFERROR(VLOOKUP(C66,Panel!$B$13:$C$19,2,FALSE),0))</f>
        <v/>
      </c>
      <c r="I66" s="22">
        <f>IF(F66="","",IF(OR(B66="",C66=""),"Completa día y franja",IF(COUNTIFS($B$8:$B$67,B66,$C$8:$C$67,C66,$F$8:$F$67,F66)&gt;1,"Duplicada",IF(COUNTIF($F$8:$F$67,F66)&gt;Profesorado!$C$6,"Excede máximo","OK"))))</f>
        <v/>
      </c>
      <c r="J66" s="29">
        <f>IF(OR(B66="",C66=""),"",B66&amp;"|"&amp;C66&amp;"|"&amp;COUNTIFS(B$8:B66,B66,C$8:C66,C66))</f>
        <v/>
      </c>
    </row>
    <row r="67">
      <c r="B67" s="12" t="n"/>
      <c r="C67" s="12" t="n"/>
      <c r="D67" s="12" t="n"/>
      <c r="E67" s="12" t="n"/>
      <c r="F67" s="12" t="n"/>
      <c r="G67" s="17">
        <f>IF(F67="","",IFERROR(VLOOKUP(F67,Profesorado!$B$8:$C$27,2,FALSE),"?"))</f>
        <v/>
      </c>
      <c r="H67" s="18">
        <f>IF(C67="","",IFERROR(VLOOKUP(C67,Panel!$B$13:$C$19,2,FALSE),0))</f>
        <v/>
      </c>
      <c r="I67" s="22">
        <f>IF(F67="","",IF(OR(B67="",C67=""),"Completa día y franja",IF(COUNTIFS($B$8:$B$67,B67,$C$8:$C$67,C67,$F$8:$F$67,F67)&gt;1,"Duplicada",IF(COUNTIF($F$8:$F$67,F67)&gt;Profesorado!$C$6,"Excede máximo","OK"))))</f>
        <v/>
      </c>
      <c r="J67" s="29">
        <f>IF(OR(B67="",C67=""),"",B67&amp;"|"&amp;C67&amp;"|"&amp;COUNTIFS(B$8:B67,B67,C$8:C67,C67))</f>
        <v/>
      </c>
    </row>
    <row r="69">
      <c r="B69" s="16" t="inlineStr">
        <is>
          <t>Las franjas y su duración se definen en el Panel (celdas B13:C19). Si cambias el nombre de una franja, vuelve a elegirla en las guardias ya registradas.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I8:I67">
    <cfRule type="cellIs" priority="1" operator="equal" dxfId="1">
      <formula>"OK"</formula>
    </cfRule>
    <cfRule type="cellIs" priority="2" operator="equal" dxfId="0">
      <formula>"Duplicada"</formula>
    </cfRule>
    <cfRule type="cellIs" priority="3" operator="equal" dxfId="2">
      <formula>"Excede máximo"</formula>
    </cfRule>
    <cfRule type="cellIs" priority="4" operator="equal" dxfId="2">
      <formula>"Completa día y franja"</formula>
    </cfRule>
  </conditionalFormatting>
  <dataValidations count="4">
    <dataValidation sqref="B8:B67" showDropDown="0" showInputMessage="0" showErrorMessage="0" allowBlank="1" type="list">
      <formula1>"Lunes,Martes,Miércoles,Jueves,Viernes"</formula1>
    </dataValidation>
    <dataValidation sqref="C8:C67" showDropDown="0" showInputMessage="0" showErrorMessage="0" allowBlank="1" type="list">
      <formula1>=Panel!$B$13:$B$19</formula1>
    </dataValidation>
    <dataValidation sqref="D8:D67" showDropDown="0" showInputMessage="0" showErrorMessage="0" allowBlank="1" type="list">
      <formula1>=Listas!$B$2:$B$6</formula1>
    </dataValidation>
    <dataValidation sqref="F8:F67" showDropDown="0" showInputMessage="0" showErrorMessage="0" allowBlank="1" type="list">
      <formula1>=Profesorado!$B$8:$B$27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J3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2" customWidth="1" min="3" max="3"/>
    <col width="12" customWidth="1" min="4" max="4"/>
    <col width="24" customWidth="1" min="5" max="5"/>
    <col width="9" customWidth="1" min="6" max="6"/>
    <col width="17" customWidth="1" min="7" max="7"/>
    <col width="24" customWidth="1" min="8" max="8"/>
    <col width="10" customWidth="1" min="9" max="9"/>
    <col width="27" customWidth="1" min="10" max="10"/>
  </cols>
  <sheetData>
    <row r="2" ht="34" customHeight="1">
      <c r="B2" s="1" t="inlineStr">
        <is>
          <t>Registro de sustituciones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Anota cada ausencia cubierta: fecha, franja, quién falta y quién cubre. La hoja comprueba que el sustituto tuviera guardia en ese momento.</t>
        </is>
      </c>
    </row>
    <row r="7" ht="30" customHeight="1">
      <c r="B7" s="11" t="inlineStr">
        <is>
          <t>Fecha</t>
        </is>
      </c>
      <c r="C7" s="11" t="inlineStr">
        <is>
          <t>Día</t>
        </is>
      </c>
      <c r="D7" s="11" t="inlineStr">
        <is>
          <t>Franja</t>
        </is>
      </c>
      <c r="E7" s="11" t="inlineStr">
        <is>
          <t>Docente ausente</t>
        </is>
      </c>
      <c r="F7" s="11" t="inlineStr">
        <is>
          <t>Grupo</t>
        </is>
      </c>
      <c r="G7" s="11" t="inlineStr">
        <is>
          <t>Motivo</t>
        </is>
      </c>
      <c r="H7" s="11" t="inlineStr">
        <is>
          <t>Cubre (guardia)</t>
        </is>
      </c>
      <c r="I7" s="11" t="inlineStr">
        <is>
          <t>Minutos</t>
        </is>
      </c>
      <c r="J7" s="11" t="inlineStr">
        <is>
          <t>Estado</t>
        </is>
      </c>
    </row>
    <row r="8">
      <c r="B8" s="30" t="n">
        <v>46286</v>
      </c>
      <c r="C8" s="22">
        <f>IF(B8="","",IFERROR(INDEX(Panel!$D$12:$H$12,WEEKDAY(B8,2)),"Fin de semana"))</f>
        <v/>
      </c>
      <c r="D8" s="31" t="inlineStr">
        <is>
          <t>1ª hora</t>
        </is>
      </c>
      <c r="E8" s="12" t="inlineStr">
        <is>
          <t>Marta Ruiz</t>
        </is>
      </c>
      <c r="F8" s="31" t="inlineStr">
        <is>
          <t>2ºA</t>
        </is>
      </c>
      <c r="G8" s="12" t="inlineStr">
        <is>
          <t>Enfermedad</t>
        </is>
      </c>
      <c r="H8" s="12" t="inlineStr">
        <is>
          <t>Ana Martín</t>
        </is>
      </c>
      <c r="I8" s="18">
        <f>IF(D8="","",IFERROR(VLOOKUP(D8,Panel!$B$13:$C$19,2,FALSE),0))</f>
        <v/>
      </c>
      <c r="J8" s="22">
        <f>IF(B8="","",IF(H8="","Sin cubrir",IF(H8=E8,"Error: mismo docente",IF(COUNTIFS(Guardias!$B$8:$B$67,C8,Guardias!$C$8:$C$67,D8,Guardias!$F$8:$F$67,H8)&gt;0,"Cubierta","Cubierta (fuera de guardia)"))))</f>
        <v/>
      </c>
    </row>
    <row r="9">
      <c r="B9" s="30" t="n">
        <v>46286</v>
      </c>
      <c r="C9" s="22">
        <f>IF(B9="","",IFERROR(INDEX(Panel!$D$12:$H$12,WEEKDAY(B9,2)),"Fin de semana"))</f>
        <v/>
      </c>
      <c r="D9" s="31" t="inlineStr">
        <is>
          <t>4ª hora</t>
        </is>
      </c>
      <c r="E9" s="12" t="inlineStr">
        <is>
          <t>Hugo Blanco</t>
        </is>
      </c>
      <c r="F9" s="31" t="inlineStr">
        <is>
          <t>1ºC</t>
        </is>
      </c>
      <c r="G9" s="12" t="inlineStr">
        <is>
          <t>Formación</t>
        </is>
      </c>
      <c r="H9" s="12" t="inlineStr">
        <is>
          <t>Javier Díaz</t>
        </is>
      </c>
      <c r="I9" s="18">
        <f>IF(D9="","",IFERROR(VLOOKUP(D9,Panel!$B$13:$C$19,2,FALSE),0))</f>
        <v/>
      </c>
      <c r="J9" s="22">
        <f>IF(B9="","",IF(H9="","Sin cubrir",IF(H9=E9,"Error: mismo docente",IF(COUNTIFS(Guardias!$B$8:$B$67,C9,Guardias!$C$8:$C$67,D9,Guardias!$F$8:$F$67,H9)&gt;0,"Cubierta","Cubierta (fuera de guardia)"))))</f>
        <v/>
      </c>
    </row>
    <row r="10">
      <c r="B10" s="30" t="n">
        <v>46287</v>
      </c>
      <c r="C10" s="22">
        <f>IF(B10="","",IFERROR(INDEX(Panel!$D$12:$H$12,WEEKDAY(B10,2)),"Fin de semana"))</f>
        <v/>
      </c>
      <c r="D10" s="31" t="inlineStr">
        <is>
          <t>2ª hora</t>
        </is>
      </c>
      <c r="E10" s="12" t="inlineStr">
        <is>
          <t>Carmen Vidal</t>
        </is>
      </c>
      <c r="F10" s="31" t="inlineStr">
        <is>
          <t>3ºB</t>
        </is>
      </c>
      <c r="G10" s="12" t="inlineStr">
        <is>
          <t>Enfermedad</t>
        </is>
      </c>
      <c r="H10" s="12" t="inlineStr">
        <is>
          <t>Daniel Cano</t>
        </is>
      </c>
      <c r="I10" s="18">
        <f>IF(D10="","",IFERROR(VLOOKUP(D10,Panel!$B$13:$C$19,2,FALSE),0))</f>
        <v/>
      </c>
      <c r="J10" s="22">
        <f>IF(B10="","",IF(H10="","Sin cubrir",IF(H10=E10,"Error: mismo docente",IF(COUNTIFS(Guardias!$B$8:$B$67,C10,Guardias!$C$8:$C$67,D10,Guardias!$F$8:$F$67,H10)&gt;0,"Cubierta","Cubierta (fuera de guardia)"))))</f>
        <v/>
      </c>
    </row>
    <row r="11">
      <c r="B11" s="30" t="n">
        <v>46288</v>
      </c>
      <c r="C11" s="22">
        <f>IF(B11="","",IFERROR(INDEX(Panel!$D$12:$H$12,WEEKDAY(B11,2)),"Fin de semana"))</f>
        <v/>
      </c>
      <c r="D11" s="31" t="inlineStr">
        <is>
          <t>3ª hora</t>
        </is>
      </c>
      <c r="E11" s="12" t="inlineStr">
        <is>
          <t>Raúl Ortega</t>
        </is>
      </c>
      <c r="F11" s="31" t="inlineStr">
        <is>
          <t>4ºA</t>
        </is>
      </c>
      <c r="G11" s="12" t="inlineStr">
        <is>
          <t>Salida escolar</t>
        </is>
      </c>
      <c r="H11" s="12" t="inlineStr">
        <is>
          <t>Carmen Vidal</t>
        </is>
      </c>
      <c r="I11" s="18">
        <f>IF(D11="","",IFERROR(VLOOKUP(D11,Panel!$B$13:$C$19,2,FALSE),0))</f>
        <v/>
      </c>
      <c r="J11" s="22">
        <f>IF(B11="","",IF(H11="","Sin cubrir",IF(H11=E11,"Error: mismo docente",IF(COUNTIFS(Guardias!$B$8:$B$67,C11,Guardias!$C$8:$C$67,D11,Guardias!$F$8:$F$67,H11)&gt;0,"Cubierta","Cubierta (fuera de guardia)"))))</f>
        <v/>
      </c>
    </row>
    <row r="12">
      <c r="B12" s="30" t="n">
        <v>46289</v>
      </c>
      <c r="C12" s="22">
        <f>IF(B12="","",IFERROR(INDEX(Panel!$D$12:$H$12,WEEKDAY(B12,2)),"Fin de semana"))</f>
        <v/>
      </c>
      <c r="D12" s="31" t="inlineStr">
        <is>
          <t>1ª hora</t>
        </is>
      </c>
      <c r="E12" s="12" t="inlineStr">
        <is>
          <t>Sofía Navarro</t>
        </is>
      </c>
      <c r="F12" s="31" t="inlineStr">
        <is>
          <t>1ºA</t>
        </is>
      </c>
      <c r="G12" s="12" t="inlineStr">
        <is>
          <t>Asuntos propios</t>
        </is>
      </c>
      <c r="H12" s="12" t="inlineStr">
        <is>
          <t>Hugo Blanco</t>
        </is>
      </c>
      <c r="I12" s="18">
        <f>IF(D12="","",IFERROR(VLOOKUP(D12,Panel!$B$13:$C$19,2,FALSE),0))</f>
        <v/>
      </c>
      <c r="J12" s="22">
        <f>IF(B12="","",IF(H12="","Sin cubrir",IF(H12=E12,"Error: mismo docente",IF(COUNTIFS(Guardias!$B$8:$B$67,C12,Guardias!$C$8:$C$67,D12,Guardias!$F$8:$F$67,H12)&gt;0,"Cubierta","Cubierta (fuera de guardia)"))))</f>
        <v/>
      </c>
    </row>
    <row r="13">
      <c r="B13" s="30" t="n">
        <v>46290</v>
      </c>
      <c r="C13" s="22">
        <f>IF(B13="","",IFERROR(INDEX(Panel!$D$12:$H$12,WEEKDAY(B13,2)),"Fin de semana"))</f>
        <v/>
      </c>
      <c r="D13" s="31" t="inlineStr">
        <is>
          <t>4ª hora</t>
        </is>
      </c>
      <c r="E13" s="12" t="inlineStr">
        <is>
          <t>Luis Gómez</t>
        </is>
      </c>
      <c r="F13" s="31" t="inlineStr">
        <is>
          <t>2ºC</t>
        </is>
      </c>
      <c r="G13" s="12" t="inlineStr">
        <is>
          <t>Enfermedad</t>
        </is>
      </c>
      <c r="H13" s="12" t="inlineStr">
        <is>
          <t>Daniel Cano</t>
        </is>
      </c>
      <c r="I13" s="18">
        <f>IF(D13="","",IFERROR(VLOOKUP(D13,Panel!$B$13:$C$19,2,FALSE),0))</f>
        <v/>
      </c>
      <c r="J13" s="22">
        <f>IF(B13="","",IF(H13="","Sin cubrir",IF(H13=E13,"Error: mismo docente",IF(COUNTIFS(Guardias!$B$8:$B$67,C13,Guardias!$C$8:$C$67,D13,Guardias!$F$8:$F$67,H13)&gt;0,"Cubierta","Cubierta (fuera de guardia)"))))</f>
        <v/>
      </c>
    </row>
    <row r="14">
      <c r="B14" s="30" t="n">
        <v>46293</v>
      </c>
      <c r="C14" s="22">
        <f>IF(B14="","",IFERROR(INDEX(Panel!$D$12:$H$12,WEEKDAY(B14,2)),"Fin de semana"))</f>
        <v/>
      </c>
      <c r="D14" s="31" t="inlineStr">
        <is>
          <t>2ª hora</t>
        </is>
      </c>
      <c r="E14" s="12" t="inlineStr">
        <is>
          <t>Elena Torres</t>
        </is>
      </c>
      <c r="F14" s="31" t="inlineStr">
        <is>
          <t>3ºA</t>
        </is>
      </c>
      <c r="G14" s="12" t="inlineStr">
        <is>
          <t>Formación</t>
        </is>
      </c>
      <c r="H14" s="12" t="inlineStr">
        <is>
          <t>Luis Gómez</t>
        </is>
      </c>
      <c r="I14" s="18">
        <f>IF(D14="","",IFERROR(VLOOKUP(D14,Panel!$B$13:$C$19,2,FALSE),0))</f>
        <v/>
      </c>
      <c r="J14" s="22">
        <f>IF(B14="","",IF(H14="","Sin cubrir",IF(H14=E14,"Error: mismo docente",IF(COUNTIFS(Guardias!$B$8:$B$67,C14,Guardias!$C$8:$C$67,D14,Guardias!$F$8:$F$67,H14)&gt;0,"Cubierta","Cubierta (fuera de guardia)"))))</f>
        <v/>
      </c>
    </row>
    <row r="15">
      <c r="B15" s="30" t="n">
        <v>46293</v>
      </c>
      <c r="C15" s="22">
        <f>IF(B15="","",IFERROR(INDEX(Panel!$D$12:$H$12,WEEKDAY(B15,2)),"Fin de semana"))</f>
        <v/>
      </c>
      <c r="D15" s="31" t="inlineStr">
        <is>
          <t>6ª hora</t>
        </is>
      </c>
      <c r="E15" s="12" t="inlineStr">
        <is>
          <t>Javier Díaz</t>
        </is>
      </c>
      <c r="F15" s="31" t="inlineStr">
        <is>
          <t>4ºB</t>
        </is>
      </c>
      <c r="G15" s="12" t="inlineStr">
        <is>
          <t>Enfermedad</t>
        </is>
      </c>
      <c r="H15" s="12" t="inlineStr">
        <is>
          <t>Raúl Ortega</t>
        </is>
      </c>
      <c r="I15" s="18">
        <f>IF(D15="","",IFERROR(VLOOKUP(D15,Panel!$B$13:$C$19,2,FALSE),0))</f>
        <v/>
      </c>
      <c r="J15" s="22">
        <f>IF(B15="","",IF(H15="","Sin cubrir",IF(H15=E15,"Error: mismo docente",IF(COUNTIFS(Guardias!$B$8:$B$67,C15,Guardias!$C$8:$C$67,D15,Guardias!$F$8:$F$67,H15)&gt;0,"Cubierta","Cubierta (fuera de guardia)"))))</f>
        <v/>
      </c>
    </row>
    <row r="16">
      <c r="B16" s="30" t="n">
        <v>46294</v>
      </c>
      <c r="C16" s="22">
        <f>IF(B16="","",IFERROR(INDEX(Panel!$D$12:$H$12,WEEKDAY(B16,2)),"Fin de semana"))</f>
        <v/>
      </c>
      <c r="D16" s="31" t="inlineStr">
        <is>
          <t>3ª hora</t>
        </is>
      </c>
      <c r="E16" s="12" t="inlineStr">
        <is>
          <t>Pablo Sanz</t>
        </is>
      </c>
      <c r="F16" s="31" t="inlineStr">
        <is>
          <t>1ºB</t>
        </is>
      </c>
      <c r="G16" s="12" t="inlineStr">
        <is>
          <t>Salida escolar</t>
        </is>
      </c>
      <c r="H16" s="12" t="inlineStr">
        <is>
          <t>Irene Molina</t>
        </is>
      </c>
      <c r="I16" s="18">
        <f>IF(D16="","",IFERROR(VLOOKUP(D16,Panel!$B$13:$C$19,2,FALSE),0))</f>
        <v/>
      </c>
      <c r="J16" s="22">
        <f>IF(B16="","",IF(H16="","Sin cubrir",IF(H16=E16,"Error: mismo docente",IF(COUNTIFS(Guardias!$B$8:$B$67,C16,Guardias!$C$8:$C$67,D16,Guardias!$F$8:$F$67,H16)&gt;0,"Cubierta","Cubierta (fuera de guardia)"))))</f>
        <v/>
      </c>
    </row>
    <row r="17">
      <c r="B17" s="30" t="n">
        <v>46295</v>
      </c>
      <c r="C17" s="22">
        <f>IF(B17="","",IFERROR(INDEX(Panel!$D$12:$H$12,WEEKDAY(B17,2)),"Fin de semana"))</f>
        <v/>
      </c>
      <c r="D17" s="31" t="inlineStr">
        <is>
          <t>5ª hora</t>
        </is>
      </c>
      <c r="E17" s="12" t="inlineStr">
        <is>
          <t>Ana Martín</t>
        </is>
      </c>
      <c r="F17" s="31" t="inlineStr">
        <is>
          <t>2ºB</t>
        </is>
      </c>
      <c r="G17" s="12" t="inlineStr">
        <is>
          <t>Otros</t>
        </is>
      </c>
      <c r="H17" s="12" t="n"/>
      <c r="I17" s="18">
        <f>IF(D17="","",IFERROR(VLOOKUP(D17,Panel!$B$13:$C$19,2,FALSE),0))</f>
        <v/>
      </c>
      <c r="J17" s="22">
        <f>IF(B17="","",IF(H17="","Sin cubrir",IF(H17=E17,"Error: mismo docente",IF(COUNTIFS(Guardias!$B$8:$B$67,C17,Guardias!$C$8:$C$67,D17,Guardias!$F$8:$F$67,H17)&gt;0,"Cubierta","Cubierta (fuera de guardia)"))))</f>
        <v/>
      </c>
    </row>
    <row r="18">
      <c r="B18" s="30" t="n">
        <v>46296</v>
      </c>
      <c r="C18" s="22">
        <f>IF(B18="","",IFERROR(INDEX(Panel!$D$12:$H$12,WEEKDAY(B18,2)),"Fin de semana"))</f>
        <v/>
      </c>
      <c r="D18" s="31" t="inlineStr">
        <is>
          <t>2ª hora</t>
        </is>
      </c>
      <c r="E18" s="12" t="inlineStr">
        <is>
          <t>Daniel Cano</t>
        </is>
      </c>
      <c r="F18" s="31" t="inlineStr">
        <is>
          <t>3ºC</t>
        </is>
      </c>
      <c r="G18" s="12" t="inlineStr">
        <is>
          <t>Enfermedad</t>
        </is>
      </c>
      <c r="H18" s="12" t="inlineStr">
        <is>
          <t>Ana Martín</t>
        </is>
      </c>
      <c r="I18" s="18">
        <f>IF(D18="","",IFERROR(VLOOKUP(D18,Panel!$B$13:$C$19,2,FALSE),0))</f>
        <v/>
      </c>
      <c r="J18" s="22">
        <f>IF(B18="","",IF(H18="","Sin cubrir",IF(H18=E18,"Error: mismo docente",IF(COUNTIFS(Guardias!$B$8:$B$67,C18,Guardias!$C$8:$C$67,D18,Guardias!$F$8:$F$67,H18)&gt;0,"Cubierta","Cubierta (fuera de guardia)"))))</f>
        <v/>
      </c>
    </row>
    <row r="19">
      <c r="B19" s="30" t="n">
        <v>46297</v>
      </c>
      <c r="C19" s="22">
        <f>IF(B19="","",IFERROR(INDEX(Panel!$D$12:$H$12,WEEKDAY(B19,2)),"Fin de semana"))</f>
        <v/>
      </c>
      <c r="D19" s="31" t="inlineStr">
        <is>
          <t>6ª hora</t>
        </is>
      </c>
      <c r="E19" s="12" t="inlineStr">
        <is>
          <t>Marta Ruiz</t>
        </is>
      </c>
      <c r="F19" s="31" t="inlineStr">
        <is>
          <t>2ºA</t>
        </is>
      </c>
      <c r="G19" s="12" t="inlineStr">
        <is>
          <t>Enfermedad</t>
        </is>
      </c>
      <c r="H19" s="12" t="inlineStr">
        <is>
          <t>Elena Torres</t>
        </is>
      </c>
      <c r="I19" s="18">
        <f>IF(D19="","",IFERROR(VLOOKUP(D19,Panel!$B$13:$C$19,2,FALSE),0))</f>
        <v/>
      </c>
      <c r="J19" s="22">
        <f>IF(B19="","",IF(H19="","Sin cubrir",IF(H19=E19,"Error: mismo docente",IF(COUNTIFS(Guardias!$B$8:$B$67,C19,Guardias!$C$8:$C$67,D19,Guardias!$F$8:$F$67,H19)&gt;0,"Cubierta","Cubierta (fuera de guardia)"))))</f>
        <v/>
      </c>
    </row>
    <row r="20">
      <c r="B20" s="30" t="n"/>
      <c r="C20" s="22">
        <f>IF(B20="","",IFERROR(INDEX(Panel!$D$12:$H$12,WEEKDAY(B20,2)),"Fin de semana"))</f>
        <v/>
      </c>
      <c r="D20" s="31" t="n"/>
      <c r="E20" s="12" t="n"/>
      <c r="F20" s="31" t="n"/>
      <c r="G20" s="12" t="n"/>
      <c r="H20" s="12" t="n"/>
      <c r="I20" s="18">
        <f>IF(D20="","",IFERROR(VLOOKUP(D20,Panel!$B$13:$C$19,2,FALSE),0))</f>
        <v/>
      </c>
      <c r="J20" s="22">
        <f>IF(B20="","",IF(H20="","Sin cubrir",IF(H20=E20,"Error: mismo docente",IF(COUNTIFS(Guardias!$B$8:$B$67,C20,Guardias!$C$8:$C$67,D20,Guardias!$F$8:$F$67,H20)&gt;0,"Cubierta","Cubierta (fuera de guardia)"))))</f>
        <v/>
      </c>
    </row>
    <row r="21">
      <c r="B21" s="30" t="n"/>
      <c r="C21" s="22">
        <f>IF(B21="","",IFERROR(INDEX(Panel!$D$12:$H$12,WEEKDAY(B21,2)),"Fin de semana"))</f>
        <v/>
      </c>
      <c r="D21" s="31" t="n"/>
      <c r="E21" s="12" t="n"/>
      <c r="F21" s="31" t="n"/>
      <c r="G21" s="12" t="n"/>
      <c r="H21" s="12" t="n"/>
      <c r="I21" s="18">
        <f>IF(D21="","",IFERROR(VLOOKUP(D21,Panel!$B$13:$C$19,2,FALSE),0))</f>
        <v/>
      </c>
      <c r="J21" s="22">
        <f>IF(B21="","",IF(H21="","Sin cubrir",IF(H21=E21,"Error: mismo docente",IF(COUNTIFS(Guardias!$B$8:$B$67,C21,Guardias!$C$8:$C$67,D21,Guardias!$F$8:$F$67,H21)&gt;0,"Cubierta","Cubierta (fuera de guardia)"))))</f>
        <v/>
      </c>
    </row>
    <row r="22">
      <c r="B22" s="30" t="n"/>
      <c r="C22" s="22">
        <f>IF(B22="","",IFERROR(INDEX(Panel!$D$12:$H$12,WEEKDAY(B22,2)),"Fin de semana"))</f>
        <v/>
      </c>
      <c r="D22" s="31" t="n"/>
      <c r="E22" s="12" t="n"/>
      <c r="F22" s="31" t="n"/>
      <c r="G22" s="12" t="n"/>
      <c r="H22" s="12" t="n"/>
      <c r="I22" s="18">
        <f>IF(D22="","",IFERROR(VLOOKUP(D22,Panel!$B$13:$C$19,2,FALSE),0))</f>
        <v/>
      </c>
      <c r="J22" s="22">
        <f>IF(B22="","",IF(H22="","Sin cubrir",IF(H22=E22,"Error: mismo docente",IF(COUNTIFS(Guardias!$B$8:$B$67,C22,Guardias!$C$8:$C$67,D22,Guardias!$F$8:$F$67,H22)&gt;0,"Cubierta","Cubierta (fuera de guardia)"))))</f>
        <v/>
      </c>
    </row>
    <row r="23">
      <c r="B23" s="30" t="n"/>
      <c r="C23" s="22">
        <f>IF(B23="","",IFERROR(INDEX(Panel!$D$12:$H$12,WEEKDAY(B23,2)),"Fin de semana"))</f>
        <v/>
      </c>
      <c r="D23" s="31" t="n"/>
      <c r="E23" s="12" t="n"/>
      <c r="F23" s="31" t="n"/>
      <c r="G23" s="12" t="n"/>
      <c r="H23" s="12" t="n"/>
      <c r="I23" s="18">
        <f>IF(D23="","",IFERROR(VLOOKUP(D23,Panel!$B$13:$C$19,2,FALSE),0))</f>
        <v/>
      </c>
      <c r="J23" s="22">
        <f>IF(B23="","",IF(H23="","Sin cubrir",IF(H23=E23,"Error: mismo docente",IF(COUNTIFS(Guardias!$B$8:$B$67,C23,Guardias!$C$8:$C$67,D23,Guardias!$F$8:$F$67,H23)&gt;0,"Cubierta","Cubierta (fuera de guardia)"))))</f>
        <v/>
      </c>
    </row>
    <row r="24">
      <c r="B24" s="30" t="n"/>
      <c r="C24" s="22">
        <f>IF(B24="","",IFERROR(INDEX(Panel!$D$12:$H$12,WEEKDAY(B24,2)),"Fin de semana"))</f>
        <v/>
      </c>
      <c r="D24" s="31" t="n"/>
      <c r="E24" s="12" t="n"/>
      <c r="F24" s="31" t="n"/>
      <c r="G24" s="12" t="n"/>
      <c r="H24" s="12" t="n"/>
      <c r="I24" s="18">
        <f>IF(D24="","",IFERROR(VLOOKUP(D24,Panel!$B$13:$C$19,2,FALSE),0))</f>
        <v/>
      </c>
      <c r="J24" s="22">
        <f>IF(B24="","",IF(H24="","Sin cubrir",IF(H24=E24,"Error: mismo docente",IF(COUNTIFS(Guardias!$B$8:$B$67,C24,Guardias!$C$8:$C$67,D24,Guardias!$F$8:$F$67,H24)&gt;0,"Cubierta","Cubierta (fuera de guardia)"))))</f>
        <v/>
      </c>
    </row>
    <row r="25">
      <c r="B25" s="30" t="n"/>
      <c r="C25" s="22">
        <f>IF(B25="","",IFERROR(INDEX(Panel!$D$12:$H$12,WEEKDAY(B25,2)),"Fin de semana"))</f>
        <v/>
      </c>
      <c r="D25" s="31" t="n"/>
      <c r="E25" s="12" t="n"/>
      <c r="F25" s="31" t="n"/>
      <c r="G25" s="12" t="n"/>
      <c r="H25" s="12" t="n"/>
      <c r="I25" s="18">
        <f>IF(D25="","",IFERROR(VLOOKUP(D25,Panel!$B$13:$C$19,2,FALSE),0))</f>
        <v/>
      </c>
      <c r="J25" s="22">
        <f>IF(B25="","",IF(H25="","Sin cubrir",IF(H25=E25,"Error: mismo docente",IF(COUNTIFS(Guardias!$B$8:$B$67,C25,Guardias!$C$8:$C$67,D25,Guardias!$F$8:$F$67,H25)&gt;0,"Cubierta","Cubierta (fuera de guardia)"))))</f>
        <v/>
      </c>
    </row>
    <row r="26">
      <c r="B26" s="30" t="n"/>
      <c r="C26" s="22">
        <f>IF(B26="","",IFERROR(INDEX(Panel!$D$12:$H$12,WEEKDAY(B26,2)),"Fin de semana"))</f>
        <v/>
      </c>
      <c r="D26" s="31" t="n"/>
      <c r="E26" s="12" t="n"/>
      <c r="F26" s="31" t="n"/>
      <c r="G26" s="12" t="n"/>
      <c r="H26" s="12" t="n"/>
      <c r="I26" s="18">
        <f>IF(D26="","",IFERROR(VLOOKUP(D26,Panel!$B$13:$C$19,2,FALSE),0))</f>
        <v/>
      </c>
      <c r="J26" s="22">
        <f>IF(B26="","",IF(H26="","Sin cubrir",IF(H26=E26,"Error: mismo docente",IF(COUNTIFS(Guardias!$B$8:$B$67,C26,Guardias!$C$8:$C$67,D26,Guardias!$F$8:$F$67,H26)&gt;0,"Cubierta","Cubierta (fuera de guardia)"))))</f>
        <v/>
      </c>
    </row>
    <row r="27">
      <c r="B27" s="30" t="n"/>
      <c r="C27" s="22">
        <f>IF(B27="","",IFERROR(INDEX(Panel!$D$12:$H$12,WEEKDAY(B27,2)),"Fin de semana"))</f>
        <v/>
      </c>
      <c r="D27" s="31" t="n"/>
      <c r="E27" s="12" t="n"/>
      <c r="F27" s="31" t="n"/>
      <c r="G27" s="12" t="n"/>
      <c r="H27" s="12" t="n"/>
      <c r="I27" s="18">
        <f>IF(D27="","",IFERROR(VLOOKUP(D27,Panel!$B$13:$C$19,2,FALSE),0))</f>
        <v/>
      </c>
      <c r="J27" s="22">
        <f>IF(B27="","",IF(H27="","Sin cubrir",IF(H27=E27,"Error: mismo docente",IF(COUNTIFS(Guardias!$B$8:$B$67,C27,Guardias!$C$8:$C$67,D27,Guardias!$F$8:$F$67,H27)&gt;0,"Cubierta","Cubierta (fuera de guardia)"))))</f>
        <v/>
      </c>
    </row>
    <row r="28">
      <c r="B28" s="30" t="n"/>
      <c r="C28" s="22">
        <f>IF(B28="","",IFERROR(INDEX(Panel!$D$12:$H$12,WEEKDAY(B28,2)),"Fin de semana"))</f>
        <v/>
      </c>
      <c r="D28" s="31" t="n"/>
      <c r="E28" s="12" t="n"/>
      <c r="F28" s="31" t="n"/>
      <c r="G28" s="12" t="n"/>
      <c r="H28" s="12" t="n"/>
      <c r="I28" s="18">
        <f>IF(D28="","",IFERROR(VLOOKUP(D28,Panel!$B$13:$C$19,2,FALSE),0))</f>
        <v/>
      </c>
      <c r="J28" s="22">
        <f>IF(B28="","",IF(H28="","Sin cubrir",IF(H28=E28,"Error: mismo docente",IF(COUNTIFS(Guardias!$B$8:$B$67,C28,Guardias!$C$8:$C$67,D28,Guardias!$F$8:$F$67,H28)&gt;0,"Cubierta","Cubierta (fuera de guardia)"))))</f>
        <v/>
      </c>
    </row>
    <row r="29">
      <c r="B29" s="30" t="n"/>
      <c r="C29" s="22">
        <f>IF(B29="","",IFERROR(INDEX(Panel!$D$12:$H$12,WEEKDAY(B29,2)),"Fin de semana"))</f>
        <v/>
      </c>
      <c r="D29" s="31" t="n"/>
      <c r="E29" s="12" t="n"/>
      <c r="F29" s="31" t="n"/>
      <c r="G29" s="12" t="n"/>
      <c r="H29" s="12" t="n"/>
      <c r="I29" s="18">
        <f>IF(D29="","",IFERROR(VLOOKUP(D29,Panel!$B$13:$C$19,2,FALSE),0))</f>
        <v/>
      </c>
      <c r="J29" s="22">
        <f>IF(B29="","",IF(H29="","Sin cubrir",IF(H29=E29,"Error: mismo docente",IF(COUNTIFS(Guardias!$B$8:$B$67,C29,Guardias!$C$8:$C$67,D29,Guardias!$F$8:$F$67,H29)&gt;0,"Cubierta","Cubierta (fuera de guardia)"))))</f>
        <v/>
      </c>
    </row>
    <row r="30">
      <c r="B30" s="30" t="n"/>
      <c r="C30" s="22">
        <f>IF(B30="","",IFERROR(INDEX(Panel!$D$12:$H$12,WEEKDAY(B30,2)),"Fin de semana"))</f>
        <v/>
      </c>
      <c r="D30" s="31" t="n"/>
      <c r="E30" s="12" t="n"/>
      <c r="F30" s="31" t="n"/>
      <c r="G30" s="12" t="n"/>
      <c r="H30" s="12" t="n"/>
      <c r="I30" s="18">
        <f>IF(D30="","",IFERROR(VLOOKUP(D30,Panel!$B$13:$C$19,2,FALSE),0))</f>
        <v/>
      </c>
      <c r="J30" s="22">
        <f>IF(B30="","",IF(H30="","Sin cubrir",IF(H30=E30,"Error: mismo docente",IF(COUNTIFS(Guardias!$B$8:$B$67,C30,Guardias!$C$8:$C$67,D30,Guardias!$F$8:$F$67,H30)&gt;0,"Cubierta","Cubierta (fuera de guardia)"))))</f>
        <v/>
      </c>
    </row>
    <row r="31">
      <c r="B31" s="30" t="n"/>
      <c r="C31" s="22">
        <f>IF(B31="","",IFERROR(INDEX(Panel!$D$12:$H$12,WEEKDAY(B31,2)),"Fin de semana"))</f>
        <v/>
      </c>
      <c r="D31" s="31" t="n"/>
      <c r="E31" s="12" t="n"/>
      <c r="F31" s="31" t="n"/>
      <c r="G31" s="12" t="n"/>
      <c r="H31" s="12" t="n"/>
      <c r="I31" s="18">
        <f>IF(D31="","",IFERROR(VLOOKUP(D31,Panel!$B$13:$C$19,2,FALSE),0))</f>
        <v/>
      </c>
      <c r="J31" s="22">
        <f>IF(B31="","",IF(H31="","Sin cubrir",IF(H31=E31,"Error: mismo docente",IF(COUNTIFS(Guardias!$B$8:$B$67,C31,Guardias!$C$8:$C$67,D31,Guardias!$F$8:$F$67,H31)&gt;0,"Cubierta","Cubierta (fuera de guardia)"))))</f>
        <v/>
      </c>
    </row>
    <row r="32">
      <c r="B32" s="30" t="n"/>
      <c r="C32" s="22">
        <f>IF(B32="","",IFERROR(INDEX(Panel!$D$12:$H$12,WEEKDAY(B32,2)),"Fin de semana"))</f>
        <v/>
      </c>
      <c r="D32" s="31" t="n"/>
      <c r="E32" s="12" t="n"/>
      <c r="F32" s="31" t="n"/>
      <c r="G32" s="12" t="n"/>
      <c r="H32" s="12" t="n"/>
      <c r="I32" s="18">
        <f>IF(D32="","",IFERROR(VLOOKUP(D32,Panel!$B$13:$C$19,2,FALSE),0))</f>
        <v/>
      </c>
      <c r="J32" s="22">
        <f>IF(B32="","",IF(H32="","Sin cubrir",IF(H32=E32,"Error: mismo docente",IF(COUNTIFS(Guardias!$B$8:$B$67,C32,Guardias!$C$8:$C$67,D32,Guardias!$F$8:$F$67,H32)&gt;0,"Cubierta","Cubierta (fuera de guardia)"))))</f>
        <v/>
      </c>
    </row>
    <row r="33">
      <c r="B33" s="30" t="n"/>
      <c r="C33" s="22">
        <f>IF(B33="","",IFERROR(INDEX(Panel!$D$12:$H$12,WEEKDAY(B33,2)),"Fin de semana"))</f>
        <v/>
      </c>
      <c r="D33" s="31" t="n"/>
      <c r="E33" s="12" t="n"/>
      <c r="F33" s="31" t="n"/>
      <c r="G33" s="12" t="n"/>
      <c r="H33" s="12" t="n"/>
      <c r="I33" s="18">
        <f>IF(D33="","",IFERROR(VLOOKUP(D33,Panel!$B$13:$C$19,2,FALSE),0))</f>
        <v/>
      </c>
      <c r="J33" s="22">
        <f>IF(B33="","",IF(H33="","Sin cubrir",IF(H33=E33,"Error: mismo docente",IF(COUNTIFS(Guardias!$B$8:$B$67,C33,Guardias!$C$8:$C$67,D33,Guardias!$F$8:$F$67,H33)&gt;0,"Cubierta","Cubierta (fuera de guardia)"))))</f>
        <v/>
      </c>
    </row>
    <row r="34">
      <c r="B34" s="30" t="n"/>
      <c r="C34" s="22">
        <f>IF(B34="","",IFERROR(INDEX(Panel!$D$12:$H$12,WEEKDAY(B34,2)),"Fin de semana"))</f>
        <v/>
      </c>
      <c r="D34" s="31" t="n"/>
      <c r="E34" s="12" t="n"/>
      <c r="F34" s="31" t="n"/>
      <c r="G34" s="12" t="n"/>
      <c r="H34" s="12" t="n"/>
      <c r="I34" s="18">
        <f>IF(D34="","",IFERROR(VLOOKUP(D34,Panel!$B$13:$C$19,2,FALSE),0))</f>
        <v/>
      </c>
      <c r="J34" s="22">
        <f>IF(B34="","",IF(H34="","Sin cubrir",IF(H34=E34,"Error: mismo docente",IF(COUNTIFS(Guardias!$B$8:$B$67,C34,Guardias!$C$8:$C$67,D34,Guardias!$F$8:$F$67,H34)&gt;0,"Cubierta","Cubierta (fuera de guardia)"))))</f>
        <v/>
      </c>
    </row>
    <row r="35">
      <c r="B35" s="30" t="n"/>
      <c r="C35" s="22">
        <f>IF(B35="","",IFERROR(INDEX(Panel!$D$12:$H$12,WEEKDAY(B35,2)),"Fin de semana"))</f>
        <v/>
      </c>
      <c r="D35" s="31" t="n"/>
      <c r="E35" s="12" t="n"/>
      <c r="F35" s="31" t="n"/>
      <c r="G35" s="12" t="n"/>
      <c r="H35" s="12" t="n"/>
      <c r="I35" s="18">
        <f>IF(D35="","",IFERROR(VLOOKUP(D35,Panel!$B$13:$C$19,2,FALSE),0))</f>
        <v/>
      </c>
      <c r="J35" s="22">
        <f>IF(B35="","",IF(H35="","Sin cubrir",IF(H35=E35,"Error: mismo docente",IF(COUNTIFS(Guardias!$B$8:$B$67,C35,Guardias!$C$8:$C$67,D35,Guardias!$F$8:$F$67,H35)&gt;0,"Cubierta","Cubierta (fuera de guardia)"))))</f>
        <v/>
      </c>
    </row>
    <row r="36">
      <c r="B36" s="30" t="n"/>
      <c r="C36" s="22">
        <f>IF(B36="","",IFERROR(INDEX(Panel!$D$12:$H$12,WEEKDAY(B36,2)),"Fin de semana"))</f>
        <v/>
      </c>
      <c r="D36" s="31" t="n"/>
      <c r="E36" s="12" t="n"/>
      <c r="F36" s="31" t="n"/>
      <c r="G36" s="12" t="n"/>
      <c r="H36" s="12" t="n"/>
      <c r="I36" s="18">
        <f>IF(D36="","",IFERROR(VLOOKUP(D36,Panel!$B$13:$C$19,2,FALSE),0))</f>
        <v/>
      </c>
      <c r="J36" s="22">
        <f>IF(B36="","",IF(H36="","Sin cubrir",IF(H36=E36,"Error: mismo docente",IF(COUNTIFS(Guardias!$B$8:$B$67,C36,Guardias!$C$8:$C$67,D36,Guardias!$F$8:$F$67,H36)&gt;0,"Cubierta","Cubierta (fuera de guardia)"))))</f>
        <v/>
      </c>
    </row>
    <row r="37">
      <c r="B37" s="30" t="n"/>
      <c r="C37" s="22">
        <f>IF(B37="","",IFERROR(INDEX(Panel!$D$12:$H$12,WEEKDAY(B37,2)),"Fin de semana"))</f>
        <v/>
      </c>
      <c r="D37" s="31" t="n"/>
      <c r="E37" s="12" t="n"/>
      <c r="F37" s="31" t="n"/>
      <c r="G37" s="12" t="n"/>
      <c r="H37" s="12" t="n"/>
      <c r="I37" s="18">
        <f>IF(D37="","",IFERROR(VLOOKUP(D37,Panel!$B$13:$C$19,2,FALSE),0))</f>
        <v/>
      </c>
      <c r="J37" s="22">
        <f>IF(B37="","",IF(H37="","Sin cubrir",IF(H37=E37,"Error: mismo docente",IF(COUNTIFS(Guardias!$B$8:$B$67,C37,Guardias!$C$8:$C$67,D37,Guardias!$F$8:$F$67,H37)&gt;0,"Cubierta","Cubierta (fuera de guardia)"))))</f>
        <v/>
      </c>
    </row>
    <row r="39">
      <c r="B39" s="23" t="inlineStr">
        <is>
          <t>Total sustituciones:</t>
        </is>
      </c>
      <c r="D39" s="20">
        <f>COUNT(B8:B37)</f>
        <v/>
      </c>
      <c r="E39" s="32" t="inlineStr">
        <is>
          <t>Minutos cubiertos:</t>
        </is>
      </c>
      <c r="F39" s="20">
        <f>SUM(I8:I37)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J8:J37">
    <cfRule type="cellIs" priority="1" operator="equal" dxfId="1">
      <formula>"Cubierta"</formula>
    </cfRule>
    <cfRule type="cellIs" priority="2" operator="equal" dxfId="0">
      <formula>"Sin cubrir"</formula>
    </cfRule>
    <cfRule type="cellIs" priority="3" operator="equal" dxfId="0">
      <formula>"Error: mismo docente"</formula>
    </cfRule>
    <cfRule type="cellIs" priority="4" operator="equal" dxfId="2">
      <formula>"Cubierta (fuera de guardia)"</formula>
    </cfRule>
  </conditionalFormatting>
  <dataValidations count="4">
    <dataValidation sqref="D8:D37" showDropDown="0" showInputMessage="0" showErrorMessage="0" allowBlank="1" type="list">
      <formula1>=Panel!$B$13:$B$19</formula1>
    </dataValidation>
    <dataValidation sqref="E8:E37" showDropDown="0" showInputMessage="0" showErrorMessage="0" allowBlank="1" type="list">
      <formula1>=Profesorado!$B$8:$B$27</formula1>
    </dataValidation>
    <dataValidation sqref="G8:G37" showDropDown="0" showInputMessage="0" showErrorMessage="0" allowBlank="1" type="list">
      <formula1>=Listas!$C$2:$C$6</formula1>
    </dataValidation>
    <dataValidation sqref="H8:H37" showDropDown="0" showInputMessage="0" showErrorMessage="0" allowBlank="1" type="list">
      <formula1>=Profesorado!$B$8:$B$27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Día</t>
        </is>
      </c>
      <c r="B1" t="inlineStr">
        <is>
          <t>Tipo</t>
        </is>
      </c>
      <c r="C1" t="inlineStr">
        <is>
          <t>Motivo</t>
        </is>
      </c>
      <c r="D1" t="inlineStr">
        <is>
          <t>Departamento</t>
        </is>
      </c>
    </row>
    <row r="2">
      <c r="A2" t="inlineStr">
        <is>
          <t>Lunes</t>
        </is>
      </c>
      <c r="B2" t="inlineStr">
        <is>
          <t>Aula</t>
        </is>
      </c>
      <c r="C2" t="inlineStr">
        <is>
          <t>Enfermedad</t>
        </is>
      </c>
      <c r="D2" t="inlineStr">
        <is>
          <t>Matemáticas</t>
        </is>
      </c>
    </row>
    <row r="3">
      <c r="A3" t="inlineStr">
        <is>
          <t>Martes</t>
        </is>
      </c>
      <c r="B3" t="inlineStr">
        <is>
          <t>Recreo</t>
        </is>
      </c>
      <c r="C3" t="inlineStr">
        <is>
          <t>Formación</t>
        </is>
      </c>
      <c r="D3" t="inlineStr">
        <is>
          <t>Lengua</t>
        </is>
      </c>
    </row>
    <row r="4">
      <c r="A4" t="inlineStr">
        <is>
          <t>Miércoles</t>
        </is>
      </c>
      <c r="B4" t="inlineStr">
        <is>
          <t>Biblioteca</t>
        </is>
      </c>
      <c r="C4" t="inlineStr">
        <is>
          <t>Salida escolar</t>
        </is>
      </c>
      <c r="D4" t="inlineStr">
        <is>
          <t>Inglés</t>
        </is>
      </c>
    </row>
    <row r="5">
      <c r="A5" t="inlineStr">
        <is>
          <t>Jueves</t>
        </is>
      </c>
      <c r="B5" t="inlineStr">
        <is>
          <t>Pasillos</t>
        </is>
      </c>
      <c r="C5" t="inlineStr">
        <is>
          <t>Asuntos propios</t>
        </is>
      </c>
      <c r="D5" t="inlineStr">
        <is>
          <t>Educación Física</t>
        </is>
      </c>
    </row>
    <row r="6">
      <c r="A6" t="inlineStr">
        <is>
          <t>Viernes</t>
        </is>
      </c>
      <c r="B6" t="inlineStr">
        <is>
          <t>Convivencia</t>
        </is>
      </c>
      <c r="C6" t="inlineStr">
        <is>
          <t>Otros</t>
        </is>
      </c>
      <c r="D6" t="inlineStr">
        <is>
          <t>Ciencias</t>
        </is>
      </c>
    </row>
    <row r="7">
      <c r="D7" t="inlineStr">
        <is>
          <t>Geografía e Historia</t>
        </is>
      </c>
    </row>
    <row r="8">
      <c r="D8" t="inlineStr">
        <is>
          <t>Música</t>
        </is>
      </c>
    </row>
    <row r="9">
      <c r="D9" t="inlineStr">
        <is>
          <t>Tecnología</t>
        </is>
      </c>
    </row>
    <row r="10">
      <c r="D10" t="inlineStr">
        <is>
          <t>Francés</t>
        </is>
      </c>
    </row>
    <row r="11">
      <c r="D11" t="inlineStr">
        <is>
          <t>Plástica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Instrucciones · Horario de guardias del profesorado</t>
        </is>
      </c>
    </row>
    <row r="3">
      <c r="B3" s="3" t="inlineStr">
        <is>
          <t>Plantilla gratuita de Plantillas de Cálculo · plantillasdecalculo.com</t>
        </is>
      </c>
    </row>
    <row r="5">
      <c r="B5" s="10" t="inlineStr">
        <is>
          <t>CÓMO USARLA</t>
        </is>
      </c>
    </row>
    <row r="6" ht="30" customHeight="1">
      <c r="B6" s="33" t="inlineStr">
        <is>
          <t>1.  Panel (franjas): en B13:C19 escribe el nombre y la duración en minutos de cada franja (clases y recreo). En la columna «Necesarias / día» (I13:I19) indica cuántos docentes de guardia necesitas en esa franja.</t>
        </is>
      </c>
    </row>
    <row r="7" ht="30" customHeight="1">
      <c r="B7" s="33" t="inlineStr">
        <is>
          <t>2.  Profesorado: apunta a tu claustro en B8:D27 (nombre, departamento y horas lectivas). Ajusta la tolerancia (C5) y el máximo de guardias por semana (C6).</t>
        </is>
      </c>
    </row>
    <row r="8" ht="30" customHeight="1">
      <c r="B8" s="33" t="inlineStr">
        <is>
          <t>3.  Guardias: registra una fila por guardia con día, franja, tipo, lugar y docente (todo con desplegables). El aviso te dirá si hay duplicadas o si alguien supera el máximo.</t>
        </is>
      </c>
    </row>
    <row r="9" ht="30" customHeight="1">
      <c r="B9" s="33" t="inlineStr">
        <is>
          <t>4.  Panel (cuadrante): el cuadrante semanal se rellena solo con los nombres; en rojo aparecen las franjas sin cubrir y debajo tienes el recuento por franja y día.</t>
        </is>
      </c>
    </row>
    <row r="10" ht="30" customHeight="1">
      <c r="B10" s="33" t="inlineStr">
        <is>
          <t>5.  Sustituciones: cada vez que falte alguien, anota fecha, franja, docente ausente, grupo, motivo y quién cubre. El estado indica si el sustituto tenía guardia en ese momento.</t>
        </is>
      </c>
    </row>
    <row r="11" ht="30" customHeight="1">
      <c r="B11" s="33" t="inlineStr">
        <is>
          <t>6.  Profesorado (equilibrio): mira la columna Estado. «Sobrecargado» y «Excede máximo» piden cambios; «Disponible» marca a quien puede asumir más guardias.</t>
        </is>
      </c>
    </row>
    <row r="12" ht="30" customHeight="1">
      <c r="B12" s="33" t="inlineStr">
        <is>
          <t>7.  Revisa el Panel cada semana: KPIs de cobertura, huecos, docentes a reequilibrar, ranking de carga y gráficos de guardias por día y sustituciones por motivo.</t>
        </is>
      </c>
    </row>
    <row r="14">
      <c r="B14" s="10" t="inlineStr">
        <is>
          <t>CONSEJOS</t>
        </is>
      </c>
    </row>
    <row r="15" ht="30" customHeight="1">
      <c r="B15" s="33" t="inlineStr">
        <is>
          <t>•  Las filas vacías ya traen sus fórmulas: solo tienes que seguir escribiendo debajo (hasta 20 docentes, 60 guardias y 30 sustituciones).</t>
        </is>
      </c>
    </row>
    <row r="16" ht="30" customHeight="1">
      <c r="B16" s="33" t="inlineStr">
        <is>
          <t>•  La carga total suma guardias fijas y sustituciones realizadas; así el reparto tiene en cuenta el trabajo real, no solo el cuadrante.</t>
        </is>
      </c>
    </row>
    <row r="17" ht="30" customHeight="1">
      <c r="B17" s="33" t="inlineStr">
        <is>
          <t>•  Para empezar de cero, borra únicamente las celdas de fondo crema de las hojas Guardias, Sustituciones y Profesorado.</t>
        </is>
      </c>
    </row>
    <row r="18" ht="30" customHeight="1">
      <c r="B18" s="33" t="inlineStr">
        <is>
          <t>•  Las hojas están protegidas sin contraseña (Revisar &gt; Desproteger hoja) para que no se pisen las fórmulas por error.</t>
        </is>
      </c>
    </row>
    <row r="20">
      <c r="B20" s="16" t="inlineStr">
        <is>
          <t>Las celdas con fondo crema y texto azul son para rellenar; las verdes se calculan solas.</t>
        </is>
      </c>
    </row>
    <row r="22" ht="44" customHeight="1">
      <c r="B22" s="34" t="inlineStr">
        <is>
          <t>Aviso: el máximo de guardias por semana y la tolerancia son parámetros editables y orientativos, no cifras oficiales. Consulta la normativa de tu comunidad y el reglamento de tu centro. Plantilla de organización interna; no sustituye a la planificación oficial del centro.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2026-10-03T09:48:59Z</dcterms:created>
  <dcterms:modified xmlns:dcterms="http://purl.org/dc/terms/" xmlns:xsi="http://www.w3.org/2001/XMLSchema-instance" xsi:type="dcterms:W3CDTF">2026-10-03T09:48:59Z</dcterms:modified>
</cp:coreProperties>
</file>