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quipaje" sheetId="2" state="visible" r:id="rId2"/>
    <sheet xmlns:r="http://schemas.openxmlformats.org/officeDocument/2006/relationships" name="Viaje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.0#"/>
    <numFmt numFmtId="167" formatCode="0.00000"/>
    <numFmt numFmtId="168" formatCode="0.0"/>
    <numFmt numFmtId="169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12744A"/>
      <sz val="10"/>
    </font>
    <font>
      <name val="Arial"/>
      <b val="1"/>
      <color rgb="00FFFFFF"/>
      <sz val="10"/>
    </font>
    <font>
      <name val="Arial"/>
      <b val="1"/>
      <color rgb="0012744A"/>
      <sz val="11"/>
    </font>
    <font>
      <name val="Arial"/>
      <color rgb="00047857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5" borderId="0" applyAlignment="1" pivotButton="0" quotePrefix="0" xfId="0">
      <alignment horizontal="center" vertical="center" wrapText="1"/>
    </xf>
    <xf numFmtId="1" fontId="13" fillId="5" borderId="0" applyAlignment="1" pivotButton="0" quotePrefix="0" xfId="0">
      <alignment horizontal="center" vertical="center"/>
    </xf>
    <xf numFmtId="9" fontId="13" fillId="5" borderId="0" applyAlignment="1" pivotButton="0" quotePrefix="0" xfId="0">
      <alignment horizontal="center" vertical="center"/>
    </xf>
    <xf numFmtId="168" fontId="13" fillId="5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" fontId="5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169" fontId="5" fillId="0" borderId="1" applyAlignment="1" pivotButton="0" quotePrefix="0" xfId="0">
      <alignment horizontal="center" vertical="center"/>
    </xf>
    <xf numFmtId="0" fontId="14" fillId="6" borderId="1" applyAlignment="1" pivotButton="0" quotePrefix="0" xfId="0">
      <alignment vertical="center"/>
    </xf>
    <xf numFmtId="1" fontId="14" fillId="6" borderId="1" applyAlignment="1" pivotButton="0" quotePrefix="0" xfId="0">
      <alignment vertical="center"/>
    </xf>
    <xf numFmtId="169" fontId="14" fillId="6" borderId="1" applyAlignment="1" pivotButton="0" quotePrefix="0" xfId="0">
      <alignment vertical="center"/>
    </xf>
    <xf numFmtId="0" fontId="15" fillId="0" borderId="1" applyAlignment="1" pivotButton="0" quotePrefix="0" xfId="0">
      <alignment vertical="center"/>
    </xf>
    <xf numFmtId="168" fontId="9" fillId="0" borderId="1" applyAlignment="1" pivotButton="0" quotePrefix="0" xfId="0">
      <alignment horizontal="center" vertical="center"/>
    </xf>
    <xf numFmtId="168" fontId="14" fillId="6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7" fontId="9" fillId="0" borderId="1" applyAlignment="1" pivotButton="0" quotePrefix="0" xfId="0">
      <alignment vertical="center"/>
    </xf>
    <xf numFmtId="168" fontId="4" fillId="3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2" fontId="4" fillId="3" borderId="1" applyAlignment="1" applyProtection="1" pivotButton="0" quotePrefix="0" xfId="0">
      <alignment horizontal="center" vertical="center"/>
      <protection locked="0" hidden="0"/>
    </xf>
    <xf numFmtId="2" fontId="9" fillId="0" borderId="1" applyAlignment="1" pivotButton="0" quotePrefix="0" xfId="0">
      <alignment horizontal="center" vertical="center"/>
    </xf>
    <xf numFmtId="167" fontId="11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hecho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'Panel'!$B$23:$B$32</f>
            </numRef>
          </cat>
          <val>
            <numRef>
              <f>'Panel'!$F$23:$F$32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Peso por maleta (kg)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'Panel'!C48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'Panel'!$B$49:$B$52</f>
            </numRef>
          </cat>
          <val>
            <numRef>
              <f>'Panel'!$C$49:$C$52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27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14" customWidth="1" min="4" max="4"/>
    <col width="14" customWidth="1" min="5" max="5"/>
    <col width="16" customWidth="1" min="6" max="6"/>
    <col width="14" customWidth="1" min="7" max="7"/>
    <col hidden="1" width="3" customWidth="1" min="8" max="8"/>
    <col width="3" customWidth="1" min="9" max="9"/>
  </cols>
  <sheetData>
    <row r="2" ht="34" customHeight="1">
      <c r="B2" s="1" t="inlineStr">
        <is>
          <t>Panel de la maleta familiar</t>
        </is>
      </c>
      <c r="C2" s="2" t="n"/>
      <c r="D2" s="2" t="n"/>
      <c r="E2" s="2" t="n"/>
      <c r="F2" s="2" t="n"/>
      <c r="G2" s="2" t="n"/>
    </row>
    <row r="3">
      <c r="B3" s="3" t="inlineStr">
        <is>
          <t>Cuánto llevas hecho, qué falta primero y cuánto pesa cada bulto.</t>
        </is>
      </c>
    </row>
    <row r="5" ht="30" customHeight="1">
      <c r="B5" s="4" t="inlineStr">
        <is>
          <t>DÍAS DE VIAJE</t>
        </is>
      </c>
      <c r="C5" s="4" t="inlineStr">
        <is>
          <t>% PREPARADO</t>
        </is>
      </c>
      <c r="E5" s="4" t="inlineStr">
        <is>
          <t>UDS. PENDIENTES</t>
        </is>
      </c>
      <c r="F5" s="4" t="inlineStr">
        <is>
          <t>ARTÍCULOS SIN COMPLETAR</t>
        </is>
      </c>
      <c r="G5" s="4" t="inlineStr">
        <is>
          <t>PESO ESTIMADO (KG)</t>
        </is>
      </c>
    </row>
    <row r="6" ht="36" customHeight="1">
      <c r="B6" s="5">
        <f>Viaje!C8</f>
        <v/>
      </c>
      <c r="C6" s="6">
        <f>G19</f>
        <v/>
      </c>
      <c r="E6" s="5">
        <f>F19</f>
        <v/>
      </c>
      <c r="F6" s="5">
        <f>COUNTIF(Equipaje!L8:L57,"Pendiente")+COUNTIF(Equipaje!L8:L57,"Parcial")</f>
        <v/>
      </c>
      <c r="G6" s="7">
        <f>SUM(Equipaje!N8:N57)</f>
        <v/>
      </c>
    </row>
    <row r="8">
      <c r="B8" s="8" t="inlineStr">
        <is>
          <t>Destino:</t>
        </is>
      </c>
      <c r="C8" s="9">
        <f>IF(Viaje!C5="","",Viaje!C5)</f>
        <v/>
      </c>
      <c r="E8" s="10" t="inlineStr">
        <is>
          <t>Días hasta la salida:</t>
        </is>
      </c>
      <c r="G8" s="11">
        <f>IF(Viaje!C6="","",MAX(Viaje!C6-TODAY(),0))</f>
        <v/>
      </c>
    </row>
    <row r="10">
      <c r="B10" s="12" t="inlineStr">
        <is>
          <t>AVANCE POR PERSONA</t>
        </is>
      </c>
    </row>
    <row r="11" ht="32" customHeight="1">
      <c r="B11" s="13" t="inlineStr">
        <is>
          <t>Persona</t>
        </is>
      </c>
      <c r="C11" s="13" t="inlineStr">
        <is>
          <t>Tipo</t>
        </is>
      </c>
      <c r="D11" s="13" t="inlineStr">
        <is>
          <t>Artículos</t>
        </is>
      </c>
      <c r="E11" s="13" t="inlineStr">
        <is>
          <t>Uds. a llevar</t>
        </is>
      </c>
      <c r="F11" s="13" t="inlineStr">
        <is>
          <t>Uds. pendientes</t>
        </is>
      </c>
      <c r="G11" s="13" t="inlineStr">
        <is>
          <t>% hecho</t>
        </is>
      </c>
    </row>
    <row r="12">
      <c r="B12" s="14">
        <f>IF(Viaje!B14="","",Viaje!B14)</f>
        <v/>
      </c>
      <c r="C12" s="15">
        <f>IF(B12="","",Viaje!C14)</f>
        <v/>
      </c>
      <c r="D12" s="16">
        <f>IF(B12="","",COUNTIF(Equipaje!$B$8:$B$57,B12))</f>
        <v/>
      </c>
      <c r="E12" s="16">
        <f>IF(B12="","",SUMIF(Equipaje!$B$8:$B$57,B12,Equipaje!$I$8:$I$57))</f>
        <v/>
      </c>
      <c r="F12" s="16">
        <f>IF(B12="","",SUMIF(Equipaje!$B$8:$B$57,B12,Equipaje!$K$8:$K$57))</f>
        <v/>
      </c>
      <c r="G12" s="17">
        <f>IF(B12="","",IF(E12=0,0,1-F12/E12))</f>
        <v/>
      </c>
    </row>
    <row r="13">
      <c r="B13" s="14">
        <f>IF(Viaje!B15="","",Viaje!B15)</f>
        <v/>
      </c>
      <c r="C13" s="15">
        <f>IF(B13="","",Viaje!C15)</f>
        <v/>
      </c>
      <c r="D13" s="16">
        <f>IF(B13="","",COUNTIF(Equipaje!$B$8:$B$57,B13))</f>
        <v/>
      </c>
      <c r="E13" s="16">
        <f>IF(B13="","",SUMIF(Equipaje!$B$8:$B$57,B13,Equipaje!$I$8:$I$57))</f>
        <v/>
      </c>
      <c r="F13" s="16">
        <f>IF(B13="","",SUMIF(Equipaje!$B$8:$B$57,B13,Equipaje!$K$8:$K$57))</f>
        <v/>
      </c>
      <c r="G13" s="17">
        <f>IF(B13="","",IF(E13=0,0,1-F13/E13))</f>
        <v/>
      </c>
    </row>
    <row r="14">
      <c r="B14" s="14">
        <f>IF(Viaje!B16="","",Viaje!B16)</f>
        <v/>
      </c>
      <c r="C14" s="15">
        <f>IF(B14="","",Viaje!C16)</f>
        <v/>
      </c>
      <c r="D14" s="16">
        <f>IF(B14="","",COUNTIF(Equipaje!$B$8:$B$57,B14))</f>
        <v/>
      </c>
      <c r="E14" s="16">
        <f>IF(B14="","",SUMIF(Equipaje!$B$8:$B$57,B14,Equipaje!$I$8:$I$57))</f>
        <v/>
      </c>
      <c r="F14" s="16">
        <f>IF(B14="","",SUMIF(Equipaje!$B$8:$B$57,B14,Equipaje!$K$8:$K$57))</f>
        <v/>
      </c>
      <c r="G14" s="17">
        <f>IF(B14="","",IF(E14=0,0,1-F14/E14))</f>
        <v/>
      </c>
    </row>
    <row r="15">
      <c r="B15" s="14">
        <f>IF(Viaje!B17="","",Viaje!B17)</f>
        <v/>
      </c>
      <c r="C15" s="15">
        <f>IF(B15="","",Viaje!C17)</f>
        <v/>
      </c>
      <c r="D15" s="16">
        <f>IF(B15="","",COUNTIF(Equipaje!$B$8:$B$57,B15))</f>
        <v/>
      </c>
      <c r="E15" s="16">
        <f>IF(B15="","",SUMIF(Equipaje!$B$8:$B$57,B15,Equipaje!$I$8:$I$57))</f>
        <v/>
      </c>
      <c r="F15" s="16">
        <f>IF(B15="","",SUMIF(Equipaje!$B$8:$B$57,B15,Equipaje!$K$8:$K$57))</f>
        <v/>
      </c>
      <c r="G15" s="17">
        <f>IF(B15="","",IF(E15=0,0,1-F15/E15))</f>
        <v/>
      </c>
    </row>
    <row r="16">
      <c r="B16" s="14">
        <f>IF(Viaje!B18="","",Viaje!B18)</f>
        <v/>
      </c>
      <c r="C16" s="15">
        <f>IF(B16="","",Viaje!C18)</f>
        <v/>
      </c>
      <c r="D16" s="16">
        <f>IF(B16="","",COUNTIF(Equipaje!$B$8:$B$57,B16))</f>
        <v/>
      </c>
      <c r="E16" s="16">
        <f>IF(B16="","",SUMIF(Equipaje!$B$8:$B$57,B16,Equipaje!$I$8:$I$57))</f>
        <v/>
      </c>
      <c r="F16" s="16">
        <f>IF(B16="","",SUMIF(Equipaje!$B$8:$B$57,B16,Equipaje!$K$8:$K$57))</f>
        <v/>
      </c>
      <c r="G16" s="17">
        <f>IF(B16="","",IF(E16=0,0,1-F16/E16))</f>
        <v/>
      </c>
    </row>
    <row r="17">
      <c r="B17" s="14">
        <f>IF(Viaje!B19="","",Viaje!B19)</f>
        <v/>
      </c>
      <c r="C17" s="15">
        <f>IF(B17="","",Viaje!C19)</f>
        <v/>
      </c>
      <c r="D17" s="16">
        <f>IF(B17="","",COUNTIF(Equipaje!$B$8:$B$57,B17))</f>
        <v/>
      </c>
      <c r="E17" s="16">
        <f>IF(B17="","",SUMIF(Equipaje!$B$8:$B$57,B17,Equipaje!$I$8:$I$57))</f>
        <v/>
      </c>
      <c r="F17" s="16">
        <f>IF(B17="","",SUMIF(Equipaje!$B$8:$B$57,B17,Equipaje!$K$8:$K$57))</f>
        <v/>
      </c>
      <c r="G17" s="17">
        <f>IF(B17="","",IF(E17=0,0,1-F17/E17))</f>
        <v/>
      </c>
    </row>
    <row r="18">
      <c r="B18" s="14">
        <f>IF(Viaje!B20="","",Viaje!B20)</f>
        <v/>
      </c>
      <c r="C18" s="15">
        <f>IF(B18="","",Viaje!C20)</f>
        <v/>
      </c>
      <c r="D18" s="16">
        <f>IF(B18="","",COUNTIF(Equipaje!$B$8:$B$57,B18))</f>
        <v/>
      </c>
      <c r="E18" s="16">
        <f>IF(B18="","",SUMIF(Equipaje!$B$8:$B$57,B18,Equipaje!$I$8:$I$57))</f>
        <v/>
      </c>
      <c r="F18" s="16">
        <f>IF(B18="","",SUMIF(Equipaje!$B$8:$B$57,B18,Equipaje!$K$8:$K$57))</f>
        <v/>
      </c>
      <c r="G18" s="17">
        <f>IF(B18="","",IF(E18=0,0,1-F18/E18))</f>
        <v/>
      </c>
    </row>
    <row r="19">
      <c r="B19" s="18" t="inlineStr">
        <is>
          <t>Total familia</t>
        </is>
      </c>
      <c r="C19" s="18" t="n"/>
      <c r="D19" s="19">
        <f>SUM(D12:D18)</f>
        <v/>
      </c>
      <c r="E19" s="19">
        <f>SUM(E12:E18)</f>
        <v/>
      </c>
      <c r="F19" s="19">
        <f>SUM(F12:F18)</f>
        <v/>
      </c>
      <c r="G19" s="20">
        <f>IF(E19=0,0,1-F19/E19)</f>
        <v/>
      </c>
    </row>
    <row r="21">
      <c r="B21" s="12" t="inlineStr">
        <is>
          <t>AVANCE POR CATEGORÍA</t>
        </is>
      </c>
    </row>
    <row r="22" ht="32" customHeight="1">
      <c r="B22" s="13" t="inlineStr">
        <is>
          <t>Categoría</t>
        </is>
      </c>
      <c r="C22" s="13" t="inlineStr">
        <is>
          <t>Artículos</t>
        </is>
      </c>
      <c r="D22" s="13" t="inlineStr">
        <is>
          <t>Uds. a llevar</t>
        </is>
      </c>
      <c r="E22" s="13" t="inlineStr">
        <is>
          <t>Uds. pendientes</t>
        </is>
      </c>
      <c r="F22" s="13" t="inlineStr">
        <is>
          <t>% hecho</t>
        </is>
      </c>
      <c r="G22" s="13" t="inlineStr">
        <is>
          <t>Peso (kg)</t>
        </is>
      </c>
    </row>
    <row r="23">
      <c r="B23" s="21" t="inlineStr">
        <is>
          <t>Ropa y calzado</t>
        </is>
      </c>
      <c r="C23" s="16">
        <f>COUNTIF(Equipaje!$C$8:$C$57,B23)</f>
        <v/>
      </c>
      <c r="D23" s="16">
        <f>SUMIF(Equipaje!$C$8:$C$57,B23,Equipaje!$I$8:$I$57)</f>
        <v/>
      </c>
      <c r="E23" s="16">
        <f>SUMIF(Equipaje!$C$8:$C$57,B23,Equipaje!$K$8:$K$57)</f>
        <v/>
      </c>
      <c r="F23" s="17">
        <f>IF(D23=0,0,1-E23/D23)</f>
        <v/>
      </c>
      <c r="G23" s="22">
        <f>SUMIF(Equipaje!$C$8:$C$57,B23,Equipaje!$N$8:$N$57)</f>
        <v/>
      </c>
    </row>
    <row r="24">
      <c r="B24" s="21" t="inlineStr">
        <is>
          <t>Aseo</t>
        </is>
      </c>
      <c r="C24" s="16">
        <f>COUNTIF(Equipaje!$C$8:$C$57,B24)</f>
        <v/>
      </c>
      <c r="D24" s="16">
        <f>SUMIF(Equipaje!$C$8:$C$57,B24,Equipaje!$I$8:$I$57)</f>
        <v/>
      </c>
      <c r="E24" s="16">
        <f>SUMIF(Equipaje!$C$8:$C$57,B24,Equipaje!$K$8:$K$57)</f>
        <v/>
      </c>
      <c r="F24" s="17">
        <f>IF(D24=0,0,1-E24/D24)</f>
        <v/>
      </c>
      <c r="G24" s="22">
        <f>SUMIF(Equipaje!$C$8:$C$57,B24,Equipaje!$N$8:$N$57)</f>
        <v/>
      </c>
    </row>
    <row r="25">
      <c r="B25" s="21" t="inlineStr">
        <is>
          <t>Botiquín</t>
        </is>
      </c>
      <c r="C25" s="16">
        <f>COUNTIF(Equipaje!$C$8:$C$57,B25)</f>
        <v/>
      </c>
      <c r="D25" s="16">
        <f>SUMIF(Equipaje!$C$8:$C$57,B25,Equipaje!$I$8:$I$57)</f>
        <v/>
      </c>
      <c r="E25" s="16">
        <f>SUMIF(Equipaje!$C$8:$C$57,B25,Equipaje!$K$8:$K$57)</f>
        <v/>
      </c>
      <c r="F25" s="17">
        <f>IF(D25=0,0,1-E25/D25)</f>
        <v/>
      </c>
      <c r="G25" s="22">
        <f>SUMIF(Equipaje!$C$8:$C$57,B25,Equipaje!$N$8:$N$57)</f>
        <v/>
      </c>
    </row>
    <row r="26">
      <c r="B26" s="21" t="inlineStr">
        <is>
          <t>Entretenimiento</t>
        </is>
      </c>
      <c r="C26" s="16">
        <f>COUNTIF(Equipaje!$C$8:$C$57,B26)</f>
        <v/>
      </c>
      <c r="D26" s="16">
        <f>SUMIF(Equipaje!$C$8:$C$57,B26,Equipaje!$I$8:$I$57)</f>
        <v/>
      </c>
      <c r="E26" s="16">
        <f>SUMIF(Equipaje!$C$8:$C$57,B26,Equipaje!$K$8:$K$57)</f>
        <v/>
      </c>
      <c r="F26" s="17">
        <f>IF(D26=0,0,1-E26/D26)</f>
        <v/>
      </c>
      <c r="G26" s="22">
        <f>SUMIF(Equipaje!$C$8:$C$57,B26,Equipaje!$N$8:$N$57)</f>
        <v/>
      </c>
    </row>
    <row r="27">
      <c r="B27" s="21" t="inlineStr">
        <is>
          <t>Documentos</t>
        </is>
      </c>
      <c r="C27" s="16">
        <f>COUNTIF(Equipaje!$C$8:$C$57,B27)</f>
        <v/>
      </c>
      <c r="D27" s="16">
        <f>SUMIF(Equipaje!$C$8:$C$57,B27,Equipaje!$I$8:$I$57)</f>
        <v/>
      </c>
      <c r="E27" s="16">
        <f>SUMIF(Equipaje!$C$8:$C$57,B27,Equipaje!$K$8:$K$57)</f>
        <v/>
      </c>
      <c r="F27" s="17">
        <f>IF(D27=0,0,1-E27/D27)</f>
        <v/>
      </c>
      <c r="G27" s="22">
        <f>SUMIF(Equipaje!$C$8:$C$57,B27,Equipaje!$N$8:$N$57)</f>
        <v/>
      </c>
    </row>
    <row r="28">
      <c r="B28" s="21" t="inlineStr">
        <is>
          <t>Bebé y niños</t>
        </is>
      </c>
      <c r="C28" s="16">
        <f>COUNTIF(Equipaje!$C$8:$C$57,B28)</f>
        <v/>
      </c>
      <c r="D28" s="16">
        <f>SUMIF(Equipaje!$C$8:$C$57,B28,Equipaje!$I$8:$I$57)</f>
        <v/>
      </c>
      <c r="E28" s="16">
        <f>SUMIF(Equipaje!$C$8:$C$57,B28,Equipaje!$K$8:$K$57)</f>
        <v/>
      </c>
      <c r="F28" s="17">
        <f>IF(D28=0,0,1-E28/D28)</f>
        <v/>
      </c>
      <c r="G28" s="22">
        <f>SUMIF(Equipaje!$C$8:$C$57,B28,Equipaje!$N$8:$N$57)</f>
        <v/>
      </c>
    </row>
    <row r="29">
      <c r="B29" s="21" t="inlineStr">
        <is>
          <t>Playa y piscina</t>
        </is>
      </c>
      <c r="C29" s="16">
        <f>COUNTIF(Equipaje!$C$8:$C$57,B29)</f>
        <v/>
      </c>
      <c r="D29" s="16">
        <f>SUMIF(Equipaje!$C$8:$C$57,B29,Equipaje!$I$8:$I$57)</f>
        <v/>
      </c>
      <c r="E29" s="16">
        <f>SUMIF(Equipaje!$C$8:$C$57,B29,Equipaje!$K$8:$K$57)</f>
        <v/>
      </c>
      <c r="F29" s="17">
        <f>IF(D29=0,0,1-E29/D29)</f>
        <v/>
      </c>
      <c r="G29" s="22">
        <f>SUMIF(Equipaje!$C$8:$C$57,B29,Equipaje!$N$8:$N$57)</f>
        <v/>
      </c>
    </row>
    <row r="30">
      <c r="B30" s="21" t="inlineStr">
        <is>
          <t>Electrónica</t>
        </is>
      </c>
      <c r="C30" s="16">
        <f>COUNTIF(Equipaje!$C$8:$C$57,B30)</f>
        <v/>
      </c>
      <c r="D30" s="16">
        <f>SUMIF(Equipaje!$C$8:$C$57,B30,Equipaje!$I$8:$I$57)</f>
        <v/>
      </c>
      <c r="E30" s="16">
        <f>SUMIF(Equipaje!$C$8:$C$57,B30,Equipaje!$K$8:$K$57)</f>
        <v/>
      </c>
      <c r="F30" s="17">
        <f>IF(D30=0,0,1-E30/D30)</f>
        <v/>
      </c>
      <c r="G30" s="22">
        <f>SUMIF(Equipaje!$C$8:$C$57,B30,Equipaje!$N$8:$N$57)</f>
        <v/>
      </c>
    </row>
    <row r="31">
      <c r="B31" s="21" t="inlineStr">
        <is>
          <t>Comida y snacks</t>
        </is>
      </c>
      <c r="C31" s="16">
        <f>COUNTIF(Equipaje!$C$8:$C$57,B31)</f>
        <v/>
      </c>
      <c r="D31" s="16">
        <f>SUMIF(Equipaje!$C$8:$C$57,B31,Equipaje!$I$8:$I$57)</f>
        <v/>
      </c>
      <c r="E31" s="16">
        <f>SUMIF(Equipaje!$C$8:$C$57,B31,Equipaje!$K$8:$K$57)</f>
        <v/>
      </c>
      <c r="F31" s="17">
        <f>IF(D31=0,0,1-E31/D31)</f>
        <v/>
      </c>
      <c r="G31" s="22">
        <f>SUMIF(Equipaje!$C$8:$C$57,B31,Equipaje!$N$8:$N$57)</f>
        <v/>
      </c>
    </row>
    <row r="32">
      <c r="B32" s="21" t="inlineStr">
        <is>
          <t>Otros</t>
        </is>
      </c>
      <c r="C32" s="16">
        <f>COUNTIF(Equipaje!$C$8:$C$57,B32)</f>
        <v/>
      </c>
      <c r="D32" s="16">
        <f>SUMIF(Equipaje!$C$8:$C$57,B32,Equipaje!$I$8:$I$57)</f>
        <v/>
      </c>
      <c r="E32" s="16">
        <f>SUMIF(Equipaje!$C$8:$C$57,B32,Equipaje!$K$8:$K$57)</f>
        <v/>
      </c>
      <c r="F32" s="17">
        <f>IF(D32=0,0,1-E32/D32)</f>
        <v/>
      </c>
      <c r="G32" s="22">
        <f>SUMIF(Equipaje!$C$8:$C$57,B32,Equipaje!$N$8:$N$57)</f>
        <v/>
      </c>
    </row>
    <row r="33">
      <c r="B33" s="18" t="inlineStr">
        <is>
          <t>Total</t>
        </is>
      </c>
      <c r="C33" s="19">
        <f>SUM(C23:C32)</f>
        <v/>
      </c>
      <c r="D33" s="19">
        <f>SUM(D23:D32)</f>
        <v/>
      </c>
      <c r="E33" s="19">
        <f>SUM(E23:E32)</f>
        <v/>
      </c>
      <c r="F33" s="20">
        <f>IF(D33=0,0,1-E33/D33)</f>
        <v/>
      </c>
      <c r="G33" s="23">
        <f>SUM(G23:G32)</f>
        <v/>
      </c>
    </row>
    <row r="34">
      <c r="B34" s="24" t="inlineStr">
        <is>
          <t>Si este total no coincide con el de arriba, hay artículos con una categoría que no está en la lista.</t>
        </is>
      </c>
    </row>
    <row r="36">
      <c r="B36" s="12" t="inlineStr">
        <is>
          <t>LO PRIMERO QUE FALTA POR METER</t>
        </is>
      </c>
    </row>
    <row r="37" ht="32" customHeight="1">
      <c r="B37" s="13" t="inlineStr">
        <is>
          <t>Artículo</t>
        </is>
      </c>
      <c r="C37" s="13" t="inlineStr">
        <is>
          <t>Persona</t>
        </is>
      </c>
      <c r="D37" s="13" t="inlineStr">
        <is>
          <t>Prioridad</t>
        </is>
      </c>
      <c r="E37" s="13" t="inlineStr">
        <is>
          <t>Uds. que faltan</t>
        </is>
      </c>
      <c r="F37" s="13" t="inlineStr">
        <is>
          <t>Maleta</t>
        </is>
      </c>
      <c r="G37" s="13" t="inlineStr">
        <is>
          <t>Estado</t>
        </is>
      </c>
    </row>
    <row r="38">
      <c r="B38" s="14">
        <f>IF($H38="","",INDEX(Equipaje!$D$8:$D$57,MATCH($H38,Equipaje!$P$8:$P$57,0)))</f>
        <v/>
      </c>
      <c r="C38" s="14">
        <f>IF($H38="","",INDEX(Equipaje!$B$8:$B$57,MATCH($H38,Equipaje!$P$8:$P$57,0)))</f>
        <v/>
      </c>
      <c r="D38" s="15">
        <f>IF($H38="","",INDEX(Equipaje!$E$8:$E$57,MATCH($H38,Equipaje!$P$8:$P$57,0)))</f>
        <v/>
      </c>
      <c r="E38" s="16">
        <f>IF($H38="","",INDEX(Equipaje!$K$8:$K$57,MATCH($H38,Equipaje!$P$8:$P$57,0)))</f>
        <v/>
      </c>
      <c r="F38" s="14">
        <f>IF($H38="","",INDEX(Equipaje!$O$8:$O$57,MATCH($H38,Equipaje!$P$8:$P$57,0)))</f>
        <v/>
      </c>
      <c r="G38" s="15">
        <f>IF($H38="","",INDEX(Equipaje!$L$8:$L$57,MATCH($H38,Equipaje!$P$8:$P$57,0)))</f>
        <v/>
      </c>
      <c r="H38" s="25">
        <f>IFERROR(LARGE(Equipaje!$P$8:$P$57,1),"")</f>
        <v/>
      </c>
    </row>
    <row r="39">
      <c r="B39" s="14">
        <f>IF($H39="","",INDEX(Equipaje!$D$8:$D$57,MATCH($H39,Equipaje!$P$8:$P$57,0)))</f>
        <v/>
      </c>
      <c r="C39" s="14">
        <f>IF($H39="","",INDEX(Equipaje!$B$8:$B$57,MATCH($H39,Equipaje!$P$8:$P$57,0)))</f>
        <v/>
      </c>
      <c r="D39" s="15">
        <f>IF($H39="","",INDEX(Equipaje!$E$8:$E$57,MATCH($H39,Equipaje!$P$8:$P$57,0)))</f>
        <v/>
      </c>
      <c r="E39" s="16">
        <f>IF($H39="","",INDEX(Equipaje!$K$8:$K$57,MATCH($H39,Equipaje!$P$8:$P$57,0)))</f>
        <v/>
      </c>
      <c r="F39" s="14">
        <f>IF($H39="","",INDEX(Equipaje!$O$8:$O$57,MATCH($H39,Equipaje!$P$8:$P$57,0)))</f>
        <v/>
      </c>
      <c r="G39" s="15">
        <f>IF($H39="","",INDEX(Equipaje!$L$8:$L$57,MATCH($H39,Equipaje!$P$8:$P$57,0)))</f>
        <v/>
      </c>
      <c r="H39" s="25">
        <f>IFERROR(LARGE(Equipaje!$P$8:$P$57,2),"")</f>
        <v/>
      </c>
    </row>
    <row r="40">
      <c r="B40" s="14">
        <f>IF($H40="","",INDEX(Equipaje!$D$8:$D$57,MATCH($H40,Equipaje!$P$8:$P$57,0)))</f>
        <v/>
      </c>
      <c r="C40" s="14">
        <f>IF($H40="","",INDEX(Equipaje!$B$8:$B$57,MATCH($H40,Equipaje!$P$8:$P$57,0)))</f>
        <v/>
      </c>
      <c r="D40" s="15">
        <f>IF($H40="","",INDEX(Equipaje!$E$8:$E$57,MATCH($H40,Equipaje!$P$8:$P$57,0)))</f>
        <v/>
      </c>
      <c r="E40" s="16">
        <f>IF($H40="","",INDEX(Equipaje!$K$8:$K$57,MATCH($H40,Equipaje!$P$8:$P$57,0)))</f>
        <v/>
      </c>
      <c r="F40" s="14">
        <f>IF($H40="","",INDEX(Equipaje!$O$8:$O$57,MATCH($H40,Equipaje!$P$8:$P$57,0)))</f>
        <v/>
      </c>
      <c r="G40" s="15">
        <f>IF($H40="","",INDEX(Equipaje!$L$8:$L$57,MATCH($H40,Equipaje!$P$8:$P$57,0)))</f>
        <v/>
      </c>
      <c r="H40" s="25">
        <f>IFERROR(LARGE(Equipaje!$P$8:$P$57,3),"")</f>
        <v/>
      </c>
    </row>
    <row r="41">
      <c r="B41" s="14">
        <f>IF($H41="","",INDEX(Equipaje!$D$8:$D$57,MATCH($H41,Equipaje!$P$8:$P$57,0)))</f>
        <v/>
      </c>
      <c r="C41" s="14">
        <f>IF($H41="","",INDEX(Equipaje!$B$8:$B$57,MATCH($H41,Equipaje!$P$8:$P$57,0)))</f>
        <v/>
      </c>
      <c r="D41" s="15">
        <f>IF($H41="","",INDEX(Equipaje!$E$8:$E$57,MATCH($H41,Equipaje!$P$8:$P$57,0)))</f>
        <v/>
      </c>
      <c r="E41" s="16">
        <f>IF($H41="","",INDEX(Equipaje!$K$8:$K$57,MATCH($H41,Equipaje!$P$8:$P$57,0)))</f>
        <v/>
      </c>
      <c r="F41" s="14">
        <f>IF($H41="","",INDEX(Equipaje!$O$8:$O$57,MATCH($H41,Equipaje!$P$8:$P$57,0)))</f>
        <v/>
      </c>
      <c r="G41" s="15">
        <f>IF($H41="","",INDEX(Equipaje!$L$8:$L$57,MATCH($H41,Equipaje!$P$8:$P$57,0)))</f>
        <v/>
      </c>
      <c r="H41" s="25">
        <f>IFERROR(LARGE(Equipaje!$P$8:$P$57,4),"")</f>
        <v/>
      </c>
    </row>
    <row r="42">
      <c r="B42" s="14">
        <f>IF($H42="","",INDEX(Equipaje!$D$8:$D$57,MATCH($H42,Equipaje!$P$8:$P$57,0)))</f>
        <v/>
      </c>
      <c r="C42" s="14">
        <f>IF($H42="","",INDEX(Equipaje!$B$8:$B$57,MATCH($H42,Equipaje!$P$8:$P$57,0)))</f>
        <v/>
      </c>
      <c r="D42" s="15">
        <f>IF($H42="","",INDEX(Equipaje!$E$8:$E$57,MATCH($H42,Equipaje!$P$8:$P$57,0)))</f>
        <v/>
      </c>
      <c r="E42" s="16">
        <f>IF($H42="","",INDEX(Equipaje!$K$8:$K$57,MATCH($H42,Equipaje!$P$8:$P$57,0)))</f>
        <v/>
      </c>
      <c r="F42" s="14">
        <f>IF($H42="","",INDEX(Equipaje!$O$8:$O$57,MATCH($H42,Equipaje!$P$8:$P$57,0)))</f>
        <v/>
      </c>
      <c r="G42" s="15">
        <f>IF($H42="","",INDEX(Equipaje!$L$8:$L$57,MATCH($H42,Equipaje!$P$8:$P$57,0)))</f>
        <v/>
      </c>
      <c r="H42" s="25">
        <f>IFERROR(LARGE(Equipaje!$P$8:$P$57,5),"")</f>
        <v/>
      </c>
    </row>
    <row r="43">
      <c r="B43" s="14">
        <f>IF($H43="","",INDEX(Equipaje!$D$8:$D$57,MATCH($H43,Equipaje!$P$8:$P$57,0)))</f>
        <v/>
      </c>
      <c r="C43" s="14">
        <f>IF($H43="","",INDEX(Equipaje!$B$8:$B$57,MATCH($H43,Equipaje!$P$8:$P$57,0)))</f>
        <v/>
      </c>
      <c r="D43" s="15">
        <f>IF($H43="","",INDEX(Equipaje!$E$8:$E$57,MATCH($H43,Equipaje!$P$8:$P$57,0)))</f>
        <v/>
      </c>
      <c r="E43" s="16">
        <f>IF($H43="","",INDEX(Equipaje!$K$8:$K$57,MATCH($H43,Equipaje!$P$8:$P$57,0)))</f>
        <v/>
      </c>
      <c r="F43" s="14">
        <f>IF($H43="","",INDEX(Equipaje!$O$8:$O$57,MATCH($H43,Equipaje!$P$8:$P$57,0)))</f>
        <v/>
      </c>
      <c r="G43" s="15">
        <f>IF($H43="","",INDEX(Equipaje!$L$8:$L$57,MATCH($H43,Equipaje!$P$8:$P$57,0)))</f>
        <v/>
      </c>
      <c r="H43" s="25">
        <f>IFERROR(LARGE(Equipaje!$P$8:$P$57,6),"")</f>
        <v/>
      </c>
    </row>
    <row r="44">
      <c r="B44" s="14">
        <f>IF($H44="","",INDEX(Equipaje!$D$8:$D$57,MATCH($H44,Equipaje!$P$8:$P$57,0)))</f>
        <v/>
      </c>
      <c r="C44" s="14">
        <f>IF($H44="","",INDEX(Equipaje!$B$8:$B$57,MATCH($H44,Equipaje!$P$8:$P$57,0)))</f>
        <v/>
      </c>
      <c r="D44" s="15">
        <f>IF($H44="","",INDEX(Equipaje!$E$8:$E$57,MATCH($H44,Equipaje!$P$8:$P$57,0)))</f>
        <v/>
      </c>
      <c r="E44" s="16">
        <f>IF($H44="","",INDEX(Equipaje!$K$8:$K$57,MATCH($H44,Equipaje!$P$8:$P$57,0)))</f>
        <v/>
      </c>
      <c r="F44" s="14">
        <f>IF($H44="","",INDEX(Equipaje!$O$8:$O$57,MATCH($H44,Equipaje!$P$8:$P$57,0)))</f>
        <v/>
      </c>
      <c r="G44" s="15">
        <f>IF($H44="","",INDEX(Equipaje!$L$8:$L$57,MATCH($H44,Equipaje!$P$8:$P$57,0)))</f>
        <v/>
      </c>
      <c r="H44" s="25">
        <f>IFERROR(LARGE(Equipaje!$P$8:$P$57,7),"")</f>
        <v/>
      </c>
    </row>
    <row r="45">
      <c r="B45" s="14">
        <f>IF($H45="","",INDEX(Equipaje!$D$8:$D$57,MATCH($H45,Equipaje!$P$8:$P$57,0)))</f>
        <v/>
      </c>
      <c r="C45" s="14">
        <f>IF($H45="","",INDEX(Equipaje!$B$8:$B$57,MATCH($H45,Equipaje!$P$8:$P$57,0)))</f>
        <v/>
      </c>
      <c r="D45" s="15">
        <f>IF($H45="","",INDEX(Equipaje!$E$8:$E$57,MATCH($H45,Equipaje!$P$8:$P$57,0)))</f>
        <v/>
      </c>
      <c r="E45" s="16">
        <f>IF($H45="","",INDEX(Equipaje!$K$8:$K$57,MATCH($H45,Equipaje!$P$8:$P$57,0)))</f>
        <v/>
      </c>
      <c r="F45" s="14">
        <f>IF($H45="","",INDEX(Equipaje!$O$8:$O$57,MATCH($H45,Equipaje!$P$8:$P$57,0)))</f>
        <v/>
      </c>
      <c r="G45" s="15">
        <f>IF($H45="","",INDEX(Equipaje!$L$8:$L$57,MATCH($H45,Equipaje!$P$8:$P$57,0)))</f>
        <v/>
      </c>
      <c r="H45" s="25">
        <f>IFERROR(LARGE(Equipaje!$P$8:$P$57,8),"")</f>
        <v/>
      </c>
    </row>
    <row r="47">
      <c r="B47" s="12" t="inlineStr">
        <is>
          <t>PESO POR MALETA</t>
        </is>
      </c>
    </row>
    <row r="48" ht="32" customHeight="1">
      <c r="B48" s="13" t="inlineStr">
        <is>
          <t>Maleta</t>
        </is>
      </c>
      <c r="C48" s="13" t="inlineStr">
        <is>
          <t>Peso estimado (kg)</t>
        </is>
      </c>
      <c r="D48" s="13" t="inlineStr">
        <is>
          <t>Límite (kg)</t>
        </is>
      </c>
      <c r="E48" s="13" t="inlineStr">
        <is>
          <t>Margen (kg)</t>
        </is>
      </c>
      <c r="F48" s="13" t="inlineStr">
        <is>
          <t>Aviso</t>
        </is>
      </c>
    </row>
    <row r="49">
      <c r="B49" s="21" t="inlineStr">
        <is>
          <t>Maleta grande</t>
        </is>
      </c>
      <c r="C49" s="22">
        <f>SUMIF(Equipaje!$O$8:$O$57,B49,Equipaje!$N$8:$N$57)</f>
        <v/>
      </c>
      <c r="D49" s="26" t="n">
        <v>23</v>
      </c>
      <c r="E49" s="22">
        <f>IF(D49="","",D49-C49)</f>
        <v/>
      </c>
      <c r="F49" s="27">
        <f>IF(D49="","Sin límite",IF(E49&lt;0,"Te pasas","OK"))</f>
        <v/>
      </c>
    </row>
    <row r="50">
      <c r="B50" s="21" t="inlineStr">
        <is>
          <t>Maleta cabina</t>
        </is>
      </c>
      <c r="C50" s="22">
        <f>SUMIF(Equipaje!$O$8:$O$57,B50,Equipaje!$N$8:$N$57)</f>
        <v/>
      </c>
      <c r="D50" s="26" t="n">
        <v>10</v>
      </c>
      <c r="E50" s="22">
        <f>IF(D50="","",D50-C50)</f>
        <v/>
      </c>
      <c r="F50" s="27">
        <f>IF(D50="","Sin límite",IF(E50&lt;0,"Te pasas","OK"))</f>
        <v/>
      </c>
    </row>
    <row r="51">
      <c r="B51" s="21" t="inlineStr">
        <is>
          <t>Mochila peques</t>
        </is>
      </c>
      <c r="C51" s="22">
        <f>SUMIF(Equipaje!$O$8:$O$57,B51,Equipaje!$N$8:$N$57)</f>
        <v/>
      </c>
      <c r="D51" s="26" t="n">
        <v>6</v>
      </c>
      <c r="E51" s="22">
        <f>IF(D51="","",D51-C51)</f>
        <v/>
      </c>
      <c r="F51" s="27">
        <f>IF(D51="","Sin límite",IF(E51&lt;0,"Te pasas","OK"))</f>
        <v/>
      </c>
    </row>
    <row r="52">
      <c r="B52" s="21" t="inlineStr">
        <is>
          <t>Bolso de mano</t>
        </is>
      </c>
      <c r="C52" s="22">
        <f>SUMIF(Equipaje!$O$8:$O$57,B52,Equipaje!$N$8:$N$57)</f>
        <v/>
      </c>
      <c r="D52" s="26" t="n">
        <v>3.5</v>
      </c>
      <c r="E52" s="22">
        <f>IF(D52="","",D52-C52)</f>
        <v/>
      </c>
      <c r="F52" s="27">
        <f>IF(D52="","Sin límite",IF(E52&lt;0,"Te pasas","OK"))</f>
        <v/>
      </c>
    </row>
    <row r="53">
      <c r="B53" s="21" t="inlineStr">
        <is>
          <t>Sin maleta asignada</t>
        </is>
      </c>
      <c r="C53" s="22">
        <f>ROUND(G6-SUM(C49:C52),1)</f>
        <v/>
      </c>
    </row>
    <row r="54">
      <c r="B54" s="18" t="inlineStr">
        <is>
          <t>Total</t>
        </is>
      </c>
      <c r="C54" s="23">
        <f>SUM(C49:C53)</f>
        <v/>
      </c>
    </row>
    <row r="55">
      <c r="B55" s="24" t="inlineStr">
        <is>
          <t>Los límites son parámetros tuyos: consulta el equipaje permitido de tu aerolínea o transporte.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B3:G3"/>
    <mergeCell ref="B2:G2"/>
    <mergeCell ref="C6:D6"/>
    <mergeCell ref="C5:D5"/>
    <mergeCell ref="E8:F8"/>
    <mergeCell ref="C8:D8"/>
  </mergeCells>
  <conditionalFormatting sqref="G12:G18">
    <cfRule type="dataBar" priority="1">
      <dataBar>
        <cfvo type="num" val="0"/>
        <cfvo type="max"/>
        <color rgb="0010B981"/>
      </dataBar>
    </cfRule>
    <cfRule type="expression" priority="2" dxfId="0">
      <formula>AND(ISNUMBER($G12),$G12&lt;0.5)</formula>
    </cfRule>
  </conditionalFormatting>
  <conditionalFormatting sqref="F23:F32">
    <cfRule type="dataBar" priority="3">
      <dataBar>
        <cfvo type="num" val="0"/>
        <cfvo type="max"/>
        <color rgb="0010B981"/>
      </dataBar>
    </cfRule>
  </conditionalFormatting>
  <conditionalFormatting sqref="D38:D45">
    <cfRule type="cellIs" priority="4" operator="equal" dxfId="0">
      <formula>"Esencial"</formula>
    </cfRule>
  </conditionalFormatting>
  <conditionalFormatting sqref="G38:G45">
    <cfRule type="cellIs" priority="5" operator="equal" dxfId="0">
      <formula>"Pendiente"</formula>
    </cfRule>
    <cfRule type="cellIs" priority="6" operator="equal" dxfId="1">
      <formula>"Parcial"</formula>
    </cfRule>
  </conditionalFormatting>
  <conditionalFormatting sqref="F49:F52">
    <cfRule type="cellIs" priority="7" operator="equal" dxfId="0">
      <formula>"Te pasas"</formula>
    </cfRule>
    <cfRule type="cellIs" priority="8" operator="equal" dxfId="2">
      <formula>"OK"</formula>
    </cfRule>
  </conditionalFormatting>
  <dataValidations count="1">
    <dataValidation sqref="D49:D52" showDropDown="0" showInputMessage="0" showErrorMessage="1" allowBlank="1" errorTitle="Límite" error="Escribe un límite en kg entre 0 y 100, o deja la celda vacía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5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20" customWidth="1" min="3" max="3"/>
    <col width="32" customWidth="1" min="4" max="4"/>
    <col width="11" customWidth="1" min="5" max="5"/>
    <col width="9" customWidth="1" min="6" max="6"/>
    <col width="8" customWidth="1" min="7" max="7"/>
    <col width="8" customWidth="1" min="8" max="8"/>
    <col width="10" customWidth="1" min="9" max="9"/>
    <col width="11" customWidth="1" min="10" max="10"/>
    <col width="9" customWidth="1" min="11" max="11"/>
    <col width="12" customWidth="1" min="12" max="12"/>
    <col width="10" customWidth="1" min="13" max="13"/>
    <col width="10" customWidth="1" min="14" max="14"/>
    <col width="17" customWidth="1" min="15" max="15"/>
    <col hidden="1" width="10" customWidth="1" min="16" max="16"/>
  </cols>
  <sheetData>
    <row r="2" ht="34" customHeight="1">
      <c r="B2" s="1" t="inlineStr">
        <is>
          <t>Lista de equipaje de la familia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artículo: la plantilla calcula cuánto llevar según los días y quién viaja; tú anotas lo que ya has metido.</t>
        </is>
      </c>
    </row>
    <row r="5">
      <c r="B5" s="8" t="inlineStr">
        <is>
          <t>Días de ropa a cubrir:</t>
        </is>
      </c>
      <c r="C5" s="11">
        <f>Viaje!C10</f>
        <v/>
      </c>
      <c r="D5" s="10" t="inlineStr">
        <is>
          <t>Preparado (% de unidades):</t>
        </is>
      </c>
      <c r="E5" s="28">
        <f>Panel!G19</f>
        <v/>
      </c>
    </row>
    <row r="7" ht="34" customHeight="1">
      <c r="B7" s="13" t="inlineStr">
        <is>
          <t>Persona</t>
        </is>
      </c>
      <c r="C7" s="13" t="inlineStr">
        <is>
          <t>Categoría</t>
        </is>
      </c>
      <c r="D7" s="13" t="inlineStr">
        <is>
          <t>Artículo</t>
        </is>
      </c>
      <c r="E7" s="13" t="inlineStr">
        <is>
          <t>Prioridad</t>
        </is>
      </c>
      <c r="F7" s="13" t="inlineStr">
        <is>
          <t>Por día</t>
        </is>
      </c>
      <c r="G7" s="13" t="inlineStr">
        <is>
          <t>Fijo</t>
        </is>
      </c>
      <c r="H7" s="13" t="inlineStr">
        <is>
          <t>Tope</t>
        </is>
      </c>
      <c r="I7" s="13" t="inlineStr">
        <is>
          <t>A llevar</t>
        </is>
      </c>
      <c r="J7" s="13" t="inlineStr">
        <is>
          <t>Preparado</t>
        </is>
      </c>
      <c r="K7" s="13" t="inlineStr">
        <is>
          <t>Falta</t>
        </is>
      </c>
      <c r="L7" s="13" t="inlineStr">
        <is>
          <t>Estado</t>
        </is>
      </c>
      <c r="M7" s="13" t="inlineStr">
        <is>
          <t>Peso unit. (kg)</t>
        </is>
      </c>
      <c r="N7" s="13" t="inlineStr">
        <is>
          <t>Peso total (kg)</t>
        </is>
      </c>
      <c r="O7" s="13" t="inlineStr">
        <is>
          <t>Maleta</t>
        </is>
      </c>
      <c r="P7" s="29" t="inlineStr">
        <is>
          <t>Clave (aux.)</t>
        </is>
      </c>
    </row>
    <row r="8">
      <c r="B8" s="30" t="inlineStr">
        <is>
          <t>Marta</t>
        </is>
      </c>
      <c r="C8" s="30" t="inlineStr">
        <is>
          <t>Ropa y calzado</t>
        </is>
      </c>
      <c r="D8" s="30" t="inlineStr">
        <is>
          <t>Camisetas y tops</t>
        </is>
      </c>
      <c r="E8" s="31" t="inlineStr">
        <is>
          <t>Normal</t>
        </is>
      </c>
      <c r="F8" s="32" t="n">
        <v>1</v>
      </c>
      <c r="G8" s="33" t="n">
        <v>0</v>
      </c>
      <c r="H8" s="33" t="n">
        <v>8</v>
      </c>
      <c r="I8" s="11">
        <f>IF(D8="","",MIN(IF(H8="",99999,H8),-INT(-(F8*Viaje!$C$10*IFERROR(INDEX(Viaje!$D$14:$D$20,MATCH(B8,Viaje!$B$14:$B$20,0)),1))))+G8)</f>
        <v/>
      </c>
      <c r="J8" s="33" t="n">
        <v>8</v>
      </c>
      <c r="K8" s="16">
        <f>IF(D8="","",MAX(I8-J8,0))</f>
        <v/>
      </c>
      <c r="L8" s="15">
        <f>IF(D8="","",IF(I8=0,"Sin cantidad",IF(J8&gt;=I8,"Listo",IF(J8&gt;0,"Parcial","Pendiente"))))</f>
        <v/>
      </c>
      <c r="M8" s="34" t="n">
        <v>0.2</v>
      </c>
      <c r="N8" s="35">
        <f>IF(OR(D8="",M8=""),"",ROUND(I8*M8,2))</f>
        <v/>
      </c>
      <c r="O8" s="30" t="inlineStr">
        <is>
          <t>Maleta grande</t>
        </is>
      </c>
      <c r="P8" s="36">
        <f>IF(OR(D8="",K8=0),"",IF(E8="Esencial",3,IF(E8="Opcional",1,2))*1000+K8+ROW()/100000)</f>
        <v/>
      </c>
    </row>
    <row r="9">
      <c r="B9" s="30" t="inlineStr">
        <is>
          <t>Marta</t>
        </is>
      </c>
      <c r="C9" s="30" t="inlineStr">
        <is>
          <t>Ropa y calzado</t>
        </is>
      </c>
      <c r="D9" s="30" t="inlineStr">
        <is>
          <t>Ropa interior</t>
        </is>
      </c>
      <c r="E9" s="31" t="inlineStr">
        <is>
          <t>Normal</t>
        </is>
      </c>
      <c r="F9" s="32" t="n">
        <v>1</v>
      </c>
      <c r="G9" s="33" t="n">
        <v>1</v>
      </c>
      <c r="H9" s="33" t="n"/>
      <c r="I9" s="11">
        <f>IF(D9="","",MIN(IF(H9="",99999,H9),-INT(-(F9*Viaje!$C$10*IFERROR(INDEX(Viaje!$D$14:$D$20,MATCH(B9,Viaje!$B$14:$B$20,0)),1))))+G9)</f>
        <v/>
      </c>
      <c r="J9" s="33" t="n">
        <v>10</v>
      </c>
      <c r="K9" s="16">
        <f>IF(D9="","",MAX(I9-J9,0))</f>
        <v/>
      </c>
      <c r="L9" s="15">
        <f>IF(D9="","",IF(I9=0,"Sin cantidad",IF(J9&gt;=I9,"Listo",IF(J9&gt;0,"Parcial","Pendiente"))))</f>
        <v/>
      </c>
      <c r="M9" s="34" t="n">
        <v>0.05</v>
      </c>
      <c r="N9" s="35">
        <f>IF(OR(D9="",M9=""),"",ROUND(I9*M9,2))</f>
        <v/>
      </c>
      <c r="O9" s="30" t="inlineStr">
        <is>
          <t>Maleta grande</t>
        </is>
      </c>
      <c r="P9" s="36">
        <f>IF(OR(D9="",K9=0),"",IF(E9="Esencial",3,IF(E9="Opcional",1,2))*1000+K9+ROW()/100000)</f>
        <v/>
      </c>
    </row>
    <row r="10">
      <c r="B10" s="30" t="inlineStr">
        <is>
          <t>Marta</t>
        </is>
      </c>
      <c r="C10" s="30" t="inlineStr">
        <is>
          <t>Ropa y calzado</t>
        </is>
      </c>
      <c r="D10" s="30" t="inlineStr">
        <is>
          <t>Pantalones cortos</t>
        </is>
      </c>
      <c r="E10" s="31" t="inlineStr">
        <is>
          <t>Normal</t>
        </is>
      </c>
      <c r="F10" s="32" t="n">
        <v>0.5</v>
      </c>
      <c r="G10" s="33" t="n">
        <v>0</v>
      </c>
      <c r="H10" s="33" t="n">
        <v>4</v>
      </c>
      <c r="I10" s="11">
        <f>IF(D10="","",MIN(IF(H10="",99999,H10),-INT(-(F10*Viaje!$C$10*IFERROR(INDEX(Viaje!$D$14:$D$20,MATCH(B10,Viaje!$B$14:$B$20,0)),1))))+G10)</f>
        <v/>
      </c>
      <c r="J10" s="33" t="n">
        <v>4</v>
      </c>
      <c r="K10" s="16">
        <f>IF(D10="","",MAX(I10-J10,0))</f>
        <v/>
      </c>
      <c r="L10" s="15">
        <f>IF(D10="","",IF(I10=0,"Sin cantidad",IF(J10&gt;=I10,"Listo",IF(J10&gt;0,"Parcial","Pendiente"))))</f>
        <v/>
      </c>
      <c r="M10" s="34" t="n">
        <v>0.25</v>
      </c>
      <c r="N10" s="35">
        <f>IF(OR(D10="",M10=""),"",ROUND(I10*M10,2))</f>
        <v/>
      </c>
      <c r="O10" s="30" t="inlineStr">
        <is>
          <t>Maleta grande</t>
        </is>
      </c>
      <c r="P10" s="36">
        <f>IF(OR(D10="",K10=0),"",IF(E10="Esencial",3,IF(E10="Opcional",1,2))*1000+K10+ROW()/100000)</f>
        <v/>
      </c>
    </row>
    <row r="11">
      <c r="B11" s="30" t="inlineStr">
        <is>
          <t>Marta</t>
        </is>
      </c>
      <c r="C11" s="30" t="inlineStr">
        <is>
          <t>Ropa y calzado</t>
        </is>
      </c>
      <c r="D11" s="30" t="inlineStr">
        <is>
          <t>Bañadores</t>
        </is>
      </c>
      <c r="E11" s="31" t="inlineStr">
        <is>
          <t>Normal</t>
        </is>
      </c>
      <c r="F11" s="32" t="n">
        <v>0</v>
      </c>
      <c r="G11" s="33" t="n">
        <v>2</v>
      </c>
      <c r="H11" s="33" t="n"/>
      <c r="I11" s="11">
        <f>IF(D11="","",MIN(IF(H11="",99999,H11),-INT(-(F11*Viaje!$C$10*IFERROR(INDEX(Viaje!$D$14:$D$20,MATCH(B11,Viaje!$B$14:$B$20,0)),1))))+G11)</f>
        <v/>
      </c>
      <c r="J11" s="33" t="n">
        <v>2</v>
      </c>
      <c r="K11" s="16">
        <f>IF(D11="","",MAX(I11-J11,0))</f>
        <v/>
      </c>
      <c r="L11" s="15">
        <f>IF(D11="","",IF(I11=0,"Sin cantidad",IF(J11&gt;=I11,"Listo",IF(J11&gt;0,"Parcial","Pendiente"))))</f>
        <v/>
      </c>
      <c r="M11" s="34" t="n">
        <v>0.15</v>
      </c>
      <c r="N11" s="35">
        <f>IF(OR(D11="",M11=""),"",ROUND(I11*M11,2))</f>
        <v/>
      </c>
      <c r="O11" s="30" t="inlineStr">
        <is>
          <t>Maleta grande</t>
        </is>
      </c>
      <c r="P11" s="36">
        <f>IF(OR(D11="",K11=0),"",IF(E11="Esencial",3,IF(E11="Opcional",1,2))*1000+K11+ROW()/100000)</f>
        <v/>
      </c>
    </row>
    <row r="12">
      <c r="B12" s="30" t="inlineStr">
        <is>
          <t>Marta</t>
        </is>
      </c>
      <c r="C12" s="30" t="inlineStr">
        <is>
          <t>Ropa y calzado</t>
        </is>
      </c>
      <c r="D12" s="30" t="inlineStr">
        <is>
          <t>Calzado (sandalias y deportivas)</t>
        </is>
      </c>
      <c r="E12" s="31" t="inlineStr">
        <is>
          <t>Normal</t>
        </is>
      </c>
      <c r="F12" s="32" t="n">
        <v>0</v>
      </c>
      <c r="G12" s="33" t="n">
        <v>2</v>
      </c>
      <c r="H12" s="33" t="n"/>
      <c r="I12" s="11">
        <f>IF(D12="","",MIN(IF(H12="",99999,H12),-INT(-(F12*Viaje!$C$10*IFERROR(INDEX(Viaje!$D$14:$D$20,MATCH(B12,Viaje!$B$14:$B$20,0)),1))))+G12)</f>
        <v/>
      </c>
      <c r="J12" s="33" t="n">
        <v>1</v>
      </c>
      <c r="K12" s="16">
        <f>IF(D12="","",MAX(I12-J12,0))</f>
        <v/>
      </c>
      <c r="L12" s="15">
        <f>IF(D12="","",IF(I12=0,"Sin cantidad",IF(J12&gt;=I12,"Listo",IF(J12&gt;0,"Parcial","Pendiente"))))</f>
        <v/>
      </c>
      <c r="M12" s="34" t="n">
        <v>0.6</v>
      </c>
      <c r="N12" s="35">
        <f>IF(OR(D12="",M12=""),"",ROUND(I12*M12,2))</f>
        <v/>
      </c>
      <c r="O12" s="30" t="inlineStr">
        <is>
          <t>Maleta grande</t>
        </is>
      </c>
      <c r="P12" s="36">
        <f>IF(OR(D12="",K12=0),"",IF(E12="Esencial",3,IF(E12="Opcional",1,2))*1000+K12+ROW()/100000)</f>
        <v/>
      </c>
    </row>
    <row r="13">
      <c r="B13" s="30" t="inlineStr">
        <is>
          <t>Marta</t>
        </is>
      </c>
      <c r="C13" s="30" t="inlineStr">
        <is>
          <t>Aseo</t>
        </is>
      </c>
      <c r="D13" s="30" t="inlineStr">
        <is>
          <t>Neceser de aseo</t>
        </is>
      </c>
      <c r="E13" s="31" t="inlineStr">
        <is>
          <t>Esencial</t>
        </is>
      </c>
      <c r="F13" s="32" t="n">
        <v>0</v>
      </c>
      <c r="G13" s="33" t="n">
        <v>1</v>
      </c>
      <c r="H13" s="33" t="n"/>
      <c r="I13" s="11">
        <f>IF(D13="","",MIN(IF(H13="",99999,H13),-INT(-(F13*Viaje!$C$10*IFERROR(INDEX(Viaje!$D$14:$D$20,MATCH(B13,Viaje!$B$14:$B$20,0)),1))))+G13)</f>
        <v/>
      </c>
      <c r="J13" s="33" t="n">
        <v>1</v>
      </c>
      <c r="K13" s="16">
        <f>IF(D13="","",MAX(I13-J13,0))</f>
        <v/>
      </c>
      <c r="L13" s="15">
        <f>IF(D13="","",IF(I13=0,"Sin cantidad",IF(J13&gt;=I13,"Listo",IF(J13&gt;0,"Parcial","Pendiente"))))</f>
        <v/>
      </c>
      <c r="M13" s="34" t="n">
        <v>0.8</v>
      </c>
      <c r="N13" s="35">
        <f>IF(OR(D13="",M13=""),"",ROUND(I13*M13,2))</f>
        <v/>
      </c>
      <c r="O13" s="30" t="inlineStr">
        <is>
          <t>Maleta grande</t>
        </is>
      </c>
      <c r="P13" s="36">
        <f>IF(OR(D13="",K13=0),"",IF(E13="Esencial",3,IF(E13="Opcional",1,2))*1000+K13+ROW()/100000)</f>
        <v/>
      </c>
    </row>
    <row r="14">
      <c r="B14" s="30" t="inlineStr">
        <is>
          <t>Pablo</t>
        </is>
      </c>
      <c r="C14" s="30" t="inlineStr">
        <is>
          <t>Ropa y calzado</t>
        </is>
      </c>
      <c r="D14" s="30" t="inlineStr">
        <is>
          <t>Camisetas</t>
        </is>
      </c>
      <c r="E14" s="31" t="inlineStr">
        <is>
          <t>Normal</t>
        </is>
      </c>
      <c r="F14" s="32" t="n">
        <v>1</v>
      </c>
      <c r="G14" s="33" t="n">
        <v>0</v>
      </c>
      <c r="H14" s="33" t="n">
        <v>8</v>
      </c>
      <c r="I14" s="11">
        <f>IF(D14="","",MIN(IF(H14="",99999,H14),-INT(-(F14*Viaje!$C$10*IFERROR(INDEX(Viaje!$D$14:$D$20,MATCH(B14,Viaje!$B$14:$B$20,0)),1))))+G14)</f>
        <v/>
      </c>
      <c r="J14" s="33" t="n">
        <v>5</v>
      </c>
      <c r="K14" s="16">
        <f>IF(D14="","",MAX(I14-J14,0))</f>
        <v/>
      </c>
      <c r="L14" s="15">
        <f>IF(D14="","",IF(I14=0,"Sin cantidad",IF(J14&gt;=I14,"Listo",IF(J14&gt;0,"Parcial","Pendiente"))))</f>
        <v/>
      </c>
      <c r="M14" s="34" t="n">
        <v>0.2</v>
      </c>
      <c r="N14" s="35">
        <f>IF(OR(D14="",M14=""),"",ROUND(I14*M14,2))</f>
        <v/>
      </c>
      <c r="O14" s="30" t="inlineStr">
        <is>
          <t>Maleta grande</t>
        </is>
      </c>
      <c r="P14" s="36">
        <f>IF(OR(D14="",K14=0),"",IF(E14="Esencial",3,IF(E14="Opcional",1,2))*1000+K14+ROW()/100000)</f>
        <v/>
      </c>
    </row>
    <row r="15">
      <c r="B15" s="30" t="inlineStr">
        <is>
          <t>Pablo</t>
        </is>
      </c>
      <c r="C15" s="30" t="inlineStr">
        <is>
          <t>Ropa y calzado</t>
        </is>
      </c>
      <c r="D15" s="30" t="inlineStr">
        <is>
          <t>Ropa interior</t>
        </is>
      </c>
      <c r="E15" s="31" t="inlineStr">
        <is>
          <t>Normal</t>
        </is>
      </c>
      <c r="F15" s="32" t="n">
        <v>1</v>
      </c>
      <c r="G15" s="33" t="n">
        <v>1</v>
      </c>
      <c r="H15" s="33" t="n"/>
      <c r="I15" s="11">
        <f>IF(D15="","",MIN(IF(H15="",99999,H15),-INT(-(F15*Viaje!$C$10*IFERROR(INDEX(Viaje!$D$14:$D$20,MATCH(B15,Viaje!$B$14:$B$20,0)),1))))+G15)</f>
        <v/>
      </c>
      <c r="J15" s="33" t="n">
        <v>10</v>
      </c>
      <c r="K15" s="16">
        <f>IF(D15="","",MAX(I15-J15,0))</f>
        <v/>
      </c>
      <c r="L15" s="15">
        <f>IF(D15="","",IF(I15=0,"Sin cantidad",IF(J15&gt;=I15,"Listo",IF(J15&gt;0,"Parcial","Pendiente"))))</f>
        <v/>
      </c>
      <c r="M15" s="34" t="n">
        <v>0.05</v>
      </c>
      <c r="N15" s="35">
        <f>IF(OR(D15="",M15=""),"",ROUND(I15*M15,2))</f>
        <v/>
      </c>
      <c r="O15" s="30" t="inlineStr">
        <is>
          <t>Maleta grande</t>
        </is>
      </c>
      <c r="P15" s="36">
        <f>IF(OR(D15="",K15=0),"",IF(E15="Esencial",3,IF(E15="Opcional",1,2))*1000+K15+ROW()/100000)</f>
        <v/>
      </c>
    </row>
    <row r="16">
      <c r="B16" s="30" t="inlineStr">
        <is>
          <t>Pablo</t>
        </is>
      </c>
      <c r="C16" s="30" t="inlineStr">
        <is>
          <t>Ropa y calzado</t>
        </is>
      </c>
      <c r="D16" s="30" t="inlineStr">
        <is>
          <t>Bermudas y pantalones cortos</t>
        </is>
      </c>
      <c r="E16" s="31" t="inlineStr">
        <is>
          <t>Normal</t>
        </is>
      </c>
      <c r="F16" s="32" t="n">
        <v>0.5</v>
      </c>
      <c r="G16" s="33" t="n">
        <v>0</v>
      </c>
      <c r="H16" s="33" t="n">
        <v>4</v>
      </c>
      <c r="I16" s="11">
        <f>IF(D16="","",MIN(IF(H16="",99999,H16),-INT(-(F16*Viaje!$C$10*IFERROR(INDEX(Viaje!$D$14:$D$20,MATCH(B16,Viaje!$B$14:$B$20,0)),1))))+G16)</f>
        <v/>
      </c>
      <c r="J16" s="33" t="n">
        <v>4</v>
      </c>
      <c r="K16" s="16">
        <f>IF(D16="","",MAX(I16-J16,0))</f>
        <v/>
      </c>
      <c r="L16" s="15">
        <f>IF(D16="","",IF(I16=0,"Sin cantidad",IF(J16&gt;=I16,"Listo",IF(J16&gt;0,"Parcial","Pendiente"))))</f>
        <v/>
      </c>
      <c r="M16" s="34" t="n">
        <v>0.3</v>
      </c>
      <c r="N16" s="35">
        <f>IF(OR(D16="",M16=""),"",ROUND(I16*M16,2))</f>
        <v/>
      </c>
      <c r="O16" s="30" t="inlineStr">
        <is>
          <t>Maleta grande</t>
        </is>
      </c>
      <c r="P16" s="36">
        <f>IF(OR(D16="",K16=0),"",IF(E16="Esencial",3,IF(E16="Opcional",1,2))*1000+K16+ROW()/100000)</f>
        <v/>
      </c>
    </row>
    <row r="17">
      <c r="B17" s="30" t="inlineStr">
        <is>
          <t>Pablo</t>
        </is>
      </c>
      <c r="C17" s="30" t="inlineStr">
        <is>
          <t>Ropa y calzado</t>
        </is>
      </c>
      <c r="D17" s="30" t="inlineStr">
        <is>
          <t>Bañadores</t>
        </is>
      </c>
      <c r="E17" s="31" t="inlineStr">
        <is>
          <t>Normal</t>
        </is>
      </c>
      <c r="F17" s="32" t="n">
        <v>0</v>
      </c>
      <c r="G17" s="33" t="n">
        <v>2</v>
      </c>
      <c r="H17" s="33" t="n"/>
      <c r="I17" s="11">
        <f>IF(D17="","",MIN(IF(H17="",99999,H17),-INT(-(F17*Viaje!$C$10*IFERROR(INDEX(Viaje!$D$14:$D$20,MATCH(B17,Viaje!$B$14:$B$20,0)),1))))+G17)</f>
        <v/>
      </c>
      <c r="J17" s="33" t="n">
        <v>0</v>
      </c>
      <c r="K17" s="16">
        <f>IF(D17="","",MAX(I17-J17,0))</f>
        <v/>
      </c>
      <c r="L17" s="15">
        <f>IF(D17="","",IF(I17=0,"Sin cantidad",IF(J17&gt;=I17,"Listo",IF(J17&gt;0,"Parcial","Pendiente"))))</f>
        <v/>
      </c>
      <c r="M17" s="34" t="n">
        <v>0.15</v>
      </c>
      <c r="N17" s="35">
        <f>IF(OR(D17="",M17=""),"",ROUND(I17*M17,2))</f>
        <v/>
      </c>
      <c r="O17" s="30" t="inlineStr">
        <is>
          <t>Maleta grande</t>
        </is>
      </c>
      <c r="P17" s="36">
        <f>IF(OR(D17="",K17=0),"",IF(E17="Esencial",3,IF(E17="Opcional",1,2))*1000+K17+ROW()/100000)</f>
        <v/>
      </c>
    </row>
    <row r="18">
      <c r="B18" s="30" t="inlineStr">
        <is>
          <t>Pablo</t>
        </is>
      </c>
      <c r="C18" s="30" t="inlineStr">
        <is>
          <t>Aseo</t>
        </is>
      </c>
      <c r="D18" s="30" t="inlineStr">
        <is>
          <t>Neceser de aseo</t>
        </is>
      </c>
      <c r="E18" s="31" t="inlineStr">
        <is>
          <t>Esencial</t>
        </is>
      </c>
      <c r="F18" s="32" t="n">
        <v>0</v>
      </c>
      <c r="G18" s="33" t="n">
        <v>1</v>
      </c>
      <c r="H18" s="33" t="n"/>
      <c r="I18" s="11">
        <f>IF(D18="","",MIN(IF(H18="",99999,H18),-INT(-(F18*Viaje!$C$10*IFERROR(INDEX(Viaje!$D$14:$D$20,MATCH(B18,Viaje!$B$14:$B$20,0)),1))))+G18)</f>
        <v/>
      </c>
      <c r="J18" s="33" t="n">
        <v>1</v>
      </c>
      <c r="K18" s="16">
        <f>IF(D18="","",MAX(I18-J18,0))</f>
        <v/>
      </c>
      <c r="L18" s="15">
        <f>IF(D18="","",IF(I18=0,"Sin cantidad",IF(J18&gt;=I18,"Listo",IF(J18&gt;0,"Parcial","Pendiente"))))</f>
        <v/>
      </c>
      <c r="M18" s="34" t="n">
        <v>0.7</v>
      </c>
      <c r="N18" s="35">
        <f>IF(OR(D18="",M18=""),"",ROUND(I18*M18,2))</f>
        <v/>
      </c>
      <c r="O18" s="30" t="inlineStr">
        <is>
          <t>Maleta grande</t>
        </is>
      </c>
      <c r="P18" s="36">
        <f>IF(OR(D18="",K18=0),"",IF(E18="Esencial",3,IF(E18="Opcional",1,2))*1000+K18+ROW()/100000)</f>
        <v/>
      </c>
    </row>
    <row r="19">
      <c r="B19" s="30" t="inlineStr">
        <is>
          <t>Lucas</t>
        </is>
      </c>
      <c r="C19" s="30" t="inlineStr">
        <is>
          <t>Ropa y calzado</t>
        </is>
      </c>
      <c r="D19" s="30" t="inlineStr">
        <is>
          <t>Camisetas</t>
        </is>
      </c>
      <c r="E19" s="31" t="inlineStr">
        <is>
          <t>Normal</t>
        </is>
      </c>
      <c r="F19" s="32" t="n">
        <v>1</v>
      </c>
      <c r="G19" s="33" t="n">
        <v>0</v>
      </c>
      <c r="H19" s="33" t="n">
        <v>10</v>
      </c>
      <c r="I19" s="11">
        <f>IF(D19="","",MIN(IF(H19="",99999,H19),-INT(-(F19*Viaje!$C$10*IFERROR(INDEX(Viaje!$D$14:$D$20,MATCH(B19,Viaje!$B$14:$B$20,0)),1))))+G19)</f>
        <v/>
      </c>
      <c r="J19" s="33" t="n">
        <v>6</v>
      </c>
      <c r="K19" s="16">
        <f>IF(D19="","",MAX(I19-J19,0))</f>
        <v/>
      </c>
      <c r="L19" s="15">
        <f>IF(D19="","",IF(I19=0,"Sin cantidad",IF(J19&gt;=I19,"Listo",IF(J19&gt;0,"Parcial","Pendiente"))))</f>
        <v/>
      </c>
      <c r="M19" s="34" t="n">
        <v>0.12</v>
      </c>
      <c r="N19" s="35">
        <f>IF(OR(D19="",M19=""),"",ROUND(I19*M19,2))</f>
        <v/>
      </c>
      <c r="O19" s="30" t="inlineStr">
        <is>
          <t>Mochila peques</t>
        </is>
      </c>
      <c r="P19" s="36">
        <f>IF(OR(D19="",K19=0),"",IF(E19="Esencial",3,IF(E19="Opcional",1,2))*1000+K19+ROW()/100000)</f>
        <v/>
      </c>
    </row>
    <row r="20">
      <c r="B20" s="30" t="inlineStr">
        <is>
          <t>Lucas</t>
        </is>
      </c>
      <c r="C20" s="30" t="inlineStr">
        <is>
          <t>Ropa y calzado</t>
        </is>
      </c>
      <c r="D20" s="30" t="inlineStr">
        <is>
          <t>Ropa interior</t>
        </is>
      </c>
      <c r="E20" s="31" t="inlineStr">
        <is>
          <t>Normal</t>
        </is>
      </c>
      <c r="F20" s="32" t="n">
        <v>1</v>
      </c>
      <c r="G20" s="33" t="n">
        <v>2</v>
      </c>
      <c r="H20" s="33" t="n"/>
      <c r="I20" s="11">
        <f>IF(D20="","",MIN(IF(H20="",99999,H20),-INT(-(F20*Viaje!$C$10*IFERROR(INDEX(Viaje!$D$14:$D$20,MATCH(B20,Viaje!$B$14:$B$20,0)),1))))+G20)</f>
        <v/>
      </c>
      <c r="J20" s="33" t="n">
        <v>14</v>
      </c>
      <c r="K20" s="16">
        <f>IF(D20="","",MAX(I20-J20,0))</f>
        <v/>
      </c>
      <c r="L20" s="15">
        <f>IF(D20="","",IF(I20=0,"Sin cantidad",IF(J20&gt;=I20,"Listo",IF(J20&gt;0,"Parcial","Pendiente"))))</f>
        <v/>
      </c>
      <c r="M20" s="34" t="n">
        <v>0.04</v>
      </c>
      <c r="N20" s="35">
        <f>IF(OR(D20="",M20=""),"",ROUND(I20*M20,2))</f>
        <v/>
      </c>
      <c r="O20" s="30" t="inlineStr">
        <is>
          <t>Mochila peques</t>
        </is>
      </c>
      <c r="P20" s="36">
        <f>IF(OR(D20="",K20=0),"",IF(E20="Esencial",3,IF(E20="Opcional",1,2))*1000+K20+ROW()/100000)</f>
        <v/>
      </c>
    </row>
    <row r="21">
      <c r="B21" s="30" t="inlineStr">
        <is>
          <t>Lucas</t>
        </is>
      </c>
      <c r="C21" s="30" t="inlineStr">
        <is>
          <t>Ropa y calzado</t>
        </is>
      </c>
      <c r="D21" s="30" t="inlineStr">
        <is>
          <t>Bañadores y camiseta de agua</t>
        </is>
      </c>
      <c r="E21" s="31" t="inlineStr">
        <is>
          <t>Normal</t>
        </is>
      </c>
      <c r="F21" s="32" t="n">
        <v>0</v>
      </c>
      <c r="G21" s="33" t="n">
        <v>2</v>
      </c>
      <c r="H21" s="33" t="n"/>
      <c r="I21" s="11">
        <f>IF(D21="","",MIN(IF(H21="",99999,H21),-INT(-(F21*Viaje!$C$10*IFERROR(INDEX(Viaje!$D$14:$D$20,MATCH(B21,Viaje!$B$14:$B$20,0)),1))))+G21)</f>
        <v/>
      </c>
      <c r="J21" s="33" t="n">
        <v>2</v>
      </c>
      <c r="K21" s="16">
        <f>IF(D21="","",MAX(I21-J21,0))</f>
        <v/>
      </c>
      <c r="L21" s="15">
        <f>IF(D21="","",IF(I21=0,"Sin cantidad",IF(J21&gt;=I21,"Listo",IF(J21&gt;0,"Parcial","Pendiente"))))</f>
        <v/>
      </c>
      <c r="M21" s="34" t="n">
        <v>0.1</v>
      </c>
      <c r="N21" s="35">
        <f>IF(OR(D21="",M21=""),"",ROUND(I21*M21,2))</f>
        <v/>
      </c>
      <c r="O21" s="30" t="inlineStr">
        <is>
          <t>Mochila peques</t>
        </is>
      </c>
      <c r="P21" s="36">
        <f>IF(OR(D21="",K21=0),"",IF(E21="Esencial",3,IF(E21="Opcional",1,2))*1000+K21+ROW()/100000)</f>
        <v/>
      </c>
    </row>
    <row r="22">
      <c r="B22" s="30" t="inlineStr">
        <is>
          <t>Lucas</t>
        </is>
      </c>
      <c r="C22" s="30" t="inlineStr">
        <is>
          <t>Playa y piscina</t>
        </is>
      </c>
      <c r="D22" s="30" t="inlineStr">
        <is>
          <t>Chanclas de agua</t>
        </is>
      </c>
      <c r="E22" s="31" t="inlineStr">
        <is>
          <t>Normal</t>
        </is>
      </c>
      <c r="F22" s="32" t="n">
        <v>0</v>
      </c>
      <c r="G22" s="33" t="n">
        <v>1</v>
      </c>
      <c r="H22" s="33" t="n"/>
      <c r="I22" s="11">
        <f>IF(D22="","",MIN(IF(H22="",99999,H22),-INT(-(F22*Viaje!$C$10*IFERROR(INDEX(Viaje!$D$14:$D$20,MATCH(B22,Viaje!$B$14:$B$20,0)),1))))+G22)</f>
        <v/>
      </c>
      <c r="J22" s="33" t="n">
        <v>1</v>
      </c>
      <c r="K22" s="16">
        <f>IF(D22="","",MAX(I22-J22,0))</f>
        <v/>
      </c>
      <c r="L22" s="15">
        <f>IF(D22="","",IF(I22=0,"Sin cantidad",IF(J22&gt;=I22,"Listo",IF(J22&gt;0,"Parcial","Pendiente"))))</f>
        <v/>
      </c>
      <c r="M22" s="34" t="n">
        <v>0.2</v>
      </c>
      <c r="N22" s="35">
        <f>IF(OR(D22="",M22=""),"",ROUND(I22*M22,2))</f>
        <v/>
      </c>
      <c r="O22" s="30" t="inlineStr">
        <is>
          <t>Mochila peques</t>
        </is>
      </c>
      <c r="P22" s="36">
        <f>IF(OR(D22="",K22=0),"",IF(E22="Esencial",3,IF(E22="Opcional",1,2))*1000+K22+ROW()/100000)</f>
        <v/>
      </c>
    </row>
    <row r="23">
      <c r="B23" s="30" t="inlineStr">
        <is>
          <t>Lucas</t>
        </is>
      </c>
      <c r="C23" s="30" t="inlineStr">
        <is>
          <t>Entretenimiento</t>
        </is>
      </c>
      <c r="D23" s="30" t="inlineStr">
        <is>
          <t>Peluche favorito</t>
        </is>
      </c>
      <c r="E23" s="31" t="inlineStr">
        <is>
          <t>Esencial</t>
        </is>
      </c>
      <c r="F23" s="32" t="n">
        <v>0</v>
      </c>
      <c r="G23" s="33" t="n">
        <v>1</v>
      </c>
      <c r="H23" s="33" t="n"/>
      <c r="I23" s="11">
        <f>IF(D23="","",MIN(IF(H23="",99999,H23),-INT(-(F23*Viaje!$C$10*IFERROR(INDEX(Viaje!$D$14:$D$20,MATCH(B23,Viaje!$B$14:$B$20,0)),1))))+G23)</f>
        <v/>
      </c>
      <c r="J23" s="33" t="n">
        <v>1</v>
      </c>
      <c r="K23" s="16">
        <f>IF(D23="","",MAX(I23-J23,0))</f>
        <v/>
      </c>
      <c r="L23" s="15">
        <f>IF(D23="","",IF(I23=0,"Sin cantidad",IF(J23&gt;=I23,"Listo",IF(J23&gt;0,"Parcial","Pendiente"))))</f>
        <v/>
      </c>
      <c r="M23" s="34" t="n">
        <v>0.3</v>
      </c>
      <c r="N23" s="35">
        <f>IF(OR(D23="",M23=""),"",ROUND(I23*M23,2))</f>
        <v/>
      </c>
      <c r="O23" s="30" t="inlineStr">
        <is>
          <t>Mochila peques</t>
        </is>
      </c>
      <c r="P23" s="36">
        <f>IF(OR(D23="",K23=0),"",IF(E23="Esencial",3,IF(E23="Opcional",1,2))*1000+K23+ROW()/100000)</f>
        <v/>
      </c>
    </row>
    <row r="24">
      <c r="B24" s="30" t="inlineStr">
        <is>
          <t>Lucas</t>
        </is>
      </c>
      <c r="C24" s="30" t="inlineStr">
        <is>
          <t>Entretenimiento</t>
        </is>
      </c>
      <c r="D24" s="30" t="inlineStr">
        <is>
          <t>Libros de colorear y lápices</t>
        </is>
      </c>
      <c r="E24" s="31" t="inlineStr">
        <is>
          <t>Normal</t>
        </is>
      </c>
      <c r="F24" s="32" t="n">
        <v>0</v>
      </c>
      <c r="G24" s="33" t="n">
        <v>3</v>
      </c>
      <c r="H24" s="33" t="n"/>
      <c r="I24" s="11">
        <f>IF(D24="","",MIN(IF(H24="",99999,H24),-INT(-(F24*Viaje!$C$10*IFERROR(INDEX(Viaje!$D$14:$D$20,MATCH(B24,Viaje!$B$14:$B$20,0)),1))))+G24)</f>
        <v/>
      </c>
      <c r="J24" s="33" t="n">
        <v>0</v>
      </c>
      <c r="K24" s="16">
        <f>IF(D24="","",MAX(I24-J24,0))</f>
        <v/>
      </c>
      <c r="L24" s="15">
        <f>IF(D24="","",IF(I24=0,"Sin cantidad",IF(J24&gt;=I24,"Listo",IF(J24&gt;0,"Parcial","Pendiente"))))</f>
        <v/>
      </c>
      <c r="M24" s="34" t="n">
        <v>0.15</v>
      </c>
      <c r="N24" s="35">
        <f>IF(OR(D24="",M24=""),"",ROUND(I24*M24,2))</f>
        <v/>
      </c>
      <c r="O24" s="30" t="inlineStr">
        <is>
          <t>Mochila peques</t>
        </is>
      </c>
      <c r="P24" s="36">
        <f>IF(OR(D24="",K24=0),"",IF(E24="Esencial",3,IF(E24="Opcional",1,2))*1000+K24+ROW()/100000)</f>
        <v/>
      </c>
    </row>
    <row r="25">
      <c r="B25" s="30" t="inlineStr">
        <is>
          <t>Lucas</t>
        </is>
      </c>
      <c r="C25" s="30" t="inlineStr">
        <is>
          <t>Electrónica</t>
        </is>
      </c>
      <c r="D25" s="30" t="inlineStr">
        <is>
          <t>Tablet con auriculares</t>
        </is>
      </c>
      <c r="E25" s="31" t="inlineStr">
        <is>
          <t>Opcional</t>
        </is>
      </c>
      <c r="F25" s="32" t="n">
        <v>0</v>
      </c>
      <c r="G25" s="33" t="n">
        <v>1</v>
      </c>
      <c r="H25" s="33" t="n"/>
      <c r="I25" s="11">
        <f>IF(D25="","",MIN(IF(H25="",99999,H25),-INT(-(F25*Viaje!$C$10*IFERROR(INDEX(Viaje!$D$14:$D$20,MATCH(B25,Viaje!$B$14:$B$20,0)),1))))+G25)</f>
        <v/>
      </c>
      <c r="J25" s="33" t="n">
        <v>1</v>
      </c>
      <c r="K25" s="16">
        <f>IF(D25="","",MAX(I25-J25,0))</f>
        <v/>
      </c>
      <c r="L25" s="15">
        <f>IF(D25="","",IF(I25=0,"Sin cantidad",IF(J25&gt;=I25,"Listo",IF(J25&gt;0,"Parcial","Pendiente"))))</f>
        <v/>
      </c>
      <c r="M25" s="34" t="n">
        <v>0.55</v>
      </c>
      <c r="N25" s="35">
        <f>IF(OR(D25="",M25=""),"",ROUND(I25*M25,2))</f>
        <v/>
      </c>
      <c r="O25" s="30" t="inlineStr">
        <is>
          <t>Mochila peques</t>
        </is>
      </c>
      <c r="P25" s="36">
        <f>IF(OR(D25="",K25=0),"",IF(E25="Esencial",3,IF(E25="Opcional",1,2))*1000+K25+ROW()/100000)</f>
        <v/>
      </c>
    </row>
    <row r="26">
      <c r="B26" s="30" t="inlineStr">
        <is>
          <t>Sofía</t>
        </is>
      </c>
      <c r="C26" s="30" t="inlineStr">
        <is>
          <t>Bebé y niños</t>
        </is>
      </c>
      <c r="D26" s="30" t="inlineStr">
        <is>
          <t>Bodies y ropa de bebé</t>
        </is>
      </c>
      <c r="E26" s="31" t="inlineStr">
        <is>
          <t>Normal</t>
        </is>
      </c>
      <c r="F26" s="32" t="n">
        <v>1</v>
      </c>
      <c r="G26" s="33" t="n">
        <v>0</v>
      </c>
      <c r="H26" s="33" t="n">
        <v>14</v>
      </c>
      <c r="I26" s="11">
        <f>IF(D26="","",MIN(IF(H26="",99999,H26),-INT(-(F26*Viaje!$C$10*IFERROR(INDEX(Viaje!$D$14:$D$20,MATCH(B26,Viaje!$B$14:$B$20,0)),1))))+G26)</f>
        <v/>
      </c>
      <c r="J26" s="33" t="n">
        <v>10</v>
      </c>
      <c r="K26" s="16">
        <f>IF(D26="","",MAX(I26-J26,0))</f>
        <v/>
      </c>
      <c r="L26" s="15">
        <f>IF(D26="","",IF(I26=0,"Sin cantidad",IF(J26&gt;=I26,"Listo",IF(J26&gt;0,"Parcial","Pendiente"))))</f>
        <v/>
      </c>
      <c r="M26" s="34" t="n">
        <v>0.08</v>
      </c>
      <c r="N26" s="35">
        <f>IF(OR(D26="",M26=""),"",ROUND(I26*M26,2))</f>
        <v/>
      </c>
      <c r="O26" s="30" t="inlineStr">
        <is>
          <t>Maleta grande</t>
        </is>
      </c>
      <c r="P26" s="36">
        <f>IF(OR(D26="",K26=0),"",IF(E26="Esencial",3,IF(E26="Opcional",1,2))*1000+K26+ROW()/100000)</f>
        <v/>
      </c>
    </row>
    <row r="27">
      <c r="B27" s="30" t="inlineStr">
        <is>
          <t>Sofía</t>
        </is>
      </c>
      <c r="C27" s="30" t="inlineStr">
        <is>
          <t>Bebé y niños</t>
        </is>
      </c>
      <c r="D27" s="30" t="inlineStr">
        <is>
          <t>Pijamas</t>
        </is>
      </c>
      <c r="E27" s="31" t="inlineStr">
        <is>
          <t>Normal</t>
        </is>
      </c>
      <c r="F27" s="32" t="n">
        <v>0.3</v>
      </c>
      <c r="G27" s="33" t="n">
        <v>0</v>
      </c>
      <c r="H27" s="33" t="n"/>
      <c r="I27" s="11">
        <f>IF(D27="","",MIN(IF(H27="",99999,H27),-INT(-(F27*Viaje!$C$10*IFERROR(INDEX(Viaje!$D$14:$D$20,MATCH(B27,Viaje!$B$14:$B$20,0)),1))))+G27)</f>
        <v/>
      </c>
      <c r="J27" s="33" t="n">
        <v>6</v>
      </c>
      <c r="K27" s="16">
        <f>IF(D27="","",MAX(I27-J27,0))</f>
        <v/>
      </c>
      <c r="L27" s="15">
        <f>IF(D27="","",IF(I27=0,"Sin cantidad",IF(J27&gt;=I27,"Listo",IF(J27&gt;0,"Parcial","Pendiente"))))</f>
        <v/>
      </c>
      <c r="M27" s="34" t="n">
        <v>0.15</v>
      </c>
      <c r="N27" s="35">
        <f>IF(OR(D27="",M27=""),"",ROUND(I27*M27,2))</f>
        <v/>
      </c>
      <c r="O27" s="30" t="inlineStr">
        <is>
          <t>Maleta grande</t>
        </is>
      </c>
      <c r="P27" s="36">
        <f>IF(OR(D27="",K27=0),"",IF(E27="Esencial",3,IF(E27="Opcional",1,2))*1000+K27+ROW()/100000)</f>
        <v/>
      </c>
    </row>
    <row r="28">
      <c r="B28" s="30" t="inlineStr">
        <is>
          <t>Sofía</t>
        </is>
      </c>
      <c r="C28" s="30" t="inlineStr">
        <is>
          <t>Bebé y niños</t>
        </is>
      </c>
      <c r="D28" s="30" t="inlineStr">
        <is>
          <t>Pañales</t>
        </is>
      </c>
      <c r="E28" s="31" t="inlineStr">
        <is>
          <t>Esencial</t>
        </is>
      </c>
      <c r="F28" s="32" t="n">
        <v>4</v>
      </c>
      <c r="G28" s="33" t="n">
        <v>0</v>
      </c>
      <c r="H28" s="33" t="n"/>
      <c r="I28" s="11">
        <f>IF(D28="","",MIN(IF(H28="",99999,H28),-INT(-(F28*Viaje!$C$10*IFERROR(INDEX(Viaje!$D$14:$D$20,MATCH(B28,Viaje!$B$14:$B$20,0)),1))))+G28)</f>
        <v/>
      </c>
      <c r="J28" s="33" t="n">
        <v>30</v>
      </c>
      <c r="K28" s="16">
        <f>IF(D28="","",MAX(I28-J28,0))</f>
        <v/>
      </c>
      <c r="L28" s="15">
        <f>IF(D28="","",IF(I28=0,"Sin cantidad",IF(J28&gt;=I28,"Listo",IF(J28&gt;0,"Parcial","Pendiente"))))</f>
        <v/>
      </c>
      <c r="M28" s="34" t="n">
        <v>0.03</v>
      </c>
      <c r="N28" s="35">
        <f>IF(OR(D28="",M28=""),"",ROUND(I28*M28,2))</f>
        <v/>
      </c>
      <c r="O28" s="30" t="inlineStr">
        <is>
          <t>Maleta grande</t>
        </is>
      </c>
      <c r="P28" s="36">
        <f>IF(OR(D28="",K28=0),"",IF(E28="Esencial",3,IF(E28="Opcional",1,2))*1000+K28+ROW()/100000)</f>
        <v/>
      </c>
    </row>
    <row r="29">
      <c r="B29" s="30" t="inlineStr">
        <is>
          <t>Sofía</t>
        </is>
      </c>
      <c r="C29" s="30" t="inlineStr">
        <is>
          <t>Bebé y niños</t>
        </is>
      </c>
      <c r="D29" s="30" t="inlineStr">
        <is>
          <t>Paquetes de toallitas</t>
        </is>
      </c>
      <c r="E29" s="31" t="inlineStr">
        <is>
          <t>Esencial</t>
        </is>
      </c>
      <c r="F29" s="32" t="n">
        <v>0</v>
      </c>
      <c r="G29" s="33" t="n">
        <v>3</v>
      </c>
      <c r="H29" s="33" t="n"/>
      <c r="I29" s="11">
        <f>IF(D29="","",MIN(IF(H29="",99999,H29),-INT(-(F29*Viaje!$C$10*IFERROR(INDEX(Viaje!$D$14:$D$20,MATCH(B29,Viaje!$B$14:$B$20,0)),1))))+G29)</f>
        <v/>
      </c>
      <c r="J29" s="33" t="n">
        <v>2</v>
      </c>
      <c r="K29" s="16">
        <f>IF(D29="","",MAX(I29-J29,0))</f>
        <v/>
      </c>
      <c r="L29" s="15">
        <f>IF(D29="","",IF(I29=0,"Sin cantidad",IF(J29&gt;=I29,"Listo",IF(J29&gt;0,"Parcial","Pendiente"))))</f>
        <v/>
      </c>
      <c r="M29" s="34" t="n">
        <v>0.4</v>
      </c>
      <c r="N29" s="35">
        <f>IF(OR(D29="",M29=""),"",ROUND(I29*M29,2))</f>
        <v/>
      </c>
      <c r="O29" s="30" t="inlineStr">
        <is>
          <t>Maleta grande</t>
        </is>
      </c>
      <c r="P29" s="36">
        <f>IF(OR(D29="",K29=0),"",IF(E29="Esencial",3,IF(E29="Opcional",1,2))*1000+K29+ROW()/100000)</f>
        <v/>
      </c>
    </row>
    <row r="30">
      <c r="B30" s="30" t="inlineStr">
        <is>
          <t>Sofía</t>
        </is>
      </c>
      <c r="C30" s="30" t="inlineStr">
        <is>
          <t>Bebé y niños</t>
        </is>
      </c>
      <c r="D30" s="30" t="inlineStr">
        <is>
          <t>Biberones y chupetes</t>
        </is>
      </c>
      <c r="E30" s="31" t="inlineStr">
        <is>
          <t>Esencial</t>
        </is>
      </c>
      <c r="F30" s="32" t="n">
        <v>0</v>
      </c>
      <c r="G30" s="33" t="n">
        <v>4</v>
      </c>
      <c r="H30" s="33" t="n"/>
      <c r="I30" s="11">
        <f>IF(D30="","",MIN(IF(H30="",99999,H30),-INT(-(F30*Viaje!$C$10*IFERROR(INDEX(Viaje!$D$14:$D$20,MATCH(B30,Viaje!$B$14:$B$20,0)),1))))+G30)</f>
        <v/>
      </c>
      <c r="J30" s="33" t="n">
        <v>4</v>
      </c>
      <c r="K30" s="16">
        <f>IF(D30="","",MAX(I30-J30,0))</f>
        <v/>
      </c>
      <c r="L30" s="15">
        <f>IF(D30="","",IF(I30=0,"Sin cantidad",IF(J30&gt;=I30,"Listo",IF(J30&gt;0,"Parcial","Pendiente"))))</f>
        <v/>
      </c>
      <c r="M30" s="34" t="n">
        <v>0.15</v>
      </c>
      <c r="N30" s="35">
        <f>IF(OR(D30="",M30=""),"",ROUND(I30*M30,2))</f>
        <v/>
      </c>
      <c r="O30" s="30" t="inlineStr">
        <is>
          <t>Bolso de mano</t>
        </is>
      </c>
      <c r="P30" s="36">
        <f>IF(OR(D30="",K30=0),"",IF(E30="Esencial",3,IF(E30="Opcional",1,2))*1000+K30+ROW()/100000)</f>
        <v/>
      </c>
    </row>
    <row r="31">
      <c r="B31" s="30" t="inlineStr">
        <is>
          <t>Sofía</t>
        </is>
      </c>
      <c r="C31" s="30" t="inlineStr">
        <is>
          <t>Bebé y niños</t>
        </is>
      </c>
      <c r="D31" s="30" t="inlineStr">
        <is>
          <t>Gorro y gafas de sol de bebé</t>
        </is>
      </c>
      <c r="E31" s="31" t="inlineStr">
        <is>
          <t>Normal</t>
        </is>
      </c>
      <c r="F31" s="32" t="n">
        <v>0</v>
      </c>
      <c r="G31" s="33" t="n">
        <v>2</v>
      </c>
      <c r="H31" s="33" t="n"/>
      <c r="I31" s="11">
        <f>IF(D31="","",MIN(IF(H31="",99999,H31),-INT(-(F31*Viaje!$C$10*IFERROR(INDEX(Viaje!$D$14:$D$20,MATCH(B31,Viaje!$B$14:$B$20,0)),1))))+G31)</f>
        <v/>
      </c>
      <c r="J31" s="33" t="n">
        <v>1</v>
      </c>
      <c r="K31" s="16">
        <f>IF(D31="","",MAX(I31-J31,0))</f>
        <v/>
      </c>
      <c r="L31" s="15">
        <f>IF(D31="","",IF(I31=0,"Sin cantidad",IF(J31&gt;=I31,"Listo",IF(J31&gt;0,"Parcial","Pendiente"))))</f>
        <v/>
      </c>
      <c r="M31" s="34" t="n">
        <v>0.1</v>
      </c>
      <c r="N31" s="35">
        <f>IF(OR(D31="",M31=""),"",ROUND(I31*M31,2))</f>
        <v/>
      </c>
      <c r="O31" s="30" t="inlineStr">
        <is>
          <t>Bolso de mano</t>
        </is>
      </c>
      <c r="P31" s="36">
        <f>IF(OR(D31="",K31=0),"",IF(E31="Esencial",3,IF(E31="Opcional",1,2))*1000+K31+ROW()/100000)</f>
        <v/>
      </c>
    </row>
    <row r="32">
      <c r="B32" s="30" t="inlineStr">
        <is>
          <t>Familia (común)</t>
        </is>
      </c>
      <c r="C32" s="30" t="inlineStr">
        <is>
          <t>Documentos</t>
        </is>
      </c>
      <c r="D32" s="30" t="inlineStr">
        <is>
          <t>DNI o pasaportes</t>
        </is>
      </c>
      <c r="E32" s="31" t="inlineStr">
        <is>
          <t>Esencial</t>
        </is>
      </c>
      <c r="F32" s="32" t="n">
        <v>0</v>
      </c>
      <c r="G32" s="33" t="n">
        <v>4</v>
      </c>
      <c r="H32" s="33" t="n"/>
      <c r="I32" s="11">
        <f>IF(D32="","",MIN(IF(H32="",99999,H32),-INT(-(F32*Viaje!$C$10*IFERROR(INDEX(Viaje!$D$14:$D$20,MATCH(B32,Viaje!$B$14:$B$20,0)),1))))+G32)</f>
        <v/>
      </c>
      <c r="J32" s="33" t="n">
        <v>4</v>
      </c>
      <c r="K32" s="16">
        <f>IF(D32="","",MAX(I32-J32,0))</f>
        <v/>
      </c>
      <c r="L32" s="15">
        <f>IF(D32="","",IF(I32=0,"Sin cantidad",IF(J32&gt;=I32,"Listo",IF(J32&gt;0,"Parcial","Pendiente"))))</f>
        <v/>
      </c>
      <c r="M32" s="34" t="n">
        <v>0.02</v>
      </c>
      <c r="N32" s="35">
        <f>IF(OR(D32="",M32=""),"",ROUND(I32*M32,2))</f>
        <v/>
      </c>
      <c r="O32" s="30" t="inlineStr">
        <is>
          <t>Bolso de mano</t>
        </is>
      </c>
      <c r="P32" s="36">
        <f>IF(OR(D32="",K32=0),"",IF(E32="Esencial",3,IF(E32="Opcional",1,2))*1000+K32+ROW()/100000)</f>
        <v/>
      </c>
    </row>
    <row r="33">
      <c r="B33" s="30" t="inlineStr">
        <is>
          <t>Familia (común)</t>
        </is>
      </c>
      <c r="C33" s="30" t="inlineStr">
        <is>
          <t>Documentos</t>
        </is>
      </c>
      <c r="D33" s="30" t="inlineStr">
        <is>
          <t>Tarjetas sanitarias</t>
        </is>
      </c>
      <c r="E33" s="31" t="inlineStr">
        <is>
          <t>Esencial</t>
        </is>
      </c>
      <c r="F33" s="32" t="n">
        <v>0</v>
      </c>
      <c r="G33" s="33" t="n">
        <v>4</v>
      </c>
      <c r="H33" s="33" t="n"/>
      <c r="I33" s="11">
        <f>IF(D33="","",MIN(IF(H33="",99999,H33),-INT(-(F33*Viaje!$C$10*IFERROR(INDEX(Viaje!$D$14:$D$20,MATCH(B33,Viaje!$B$14:$B$20,0)),1))))+G33)</f>
        <v/>
      </c>
      <c r="J33" s="33" t="n">
        <v>4</v>
      </c>
      <c r="K33" s="16">
        <f>IF(D33="","",MAX(I33-J33,0))</f>
        <v/>
      </c>
      <c r="L33" s="15">
        <f>IF(D33="","",IF(I33=0,"Sin cantidad",IF(J33&gt;=I33,"Listo",IF(J33&gt;0,"Parcial","Pendiente"))))</f>
        <v/>
      </c>
      <c r="M33" s="34" t="n">
        <v>0.02</v>
      </c>
      <c r="N33" s="35">
        <f>IF(OR(D33="",M33=""),"",ROUND(I33*M33,2))</f>
        <v/>
      </c>
      <c r="O33" s="30" t="inlineStr">
        <is>
          <t>Bolso de mano</t>
        </is>
      </c>
      <c r="P33" s="36">
        <f>IF(OR(D33="",K33=0),"",IF(E33="Esencial",3,IF(E33="Opcional",1,2))*1000+K33+ROW()/100000)</f>
        <v/>
      </c>
    </row>
    <row r="34">
      <c r="B34" s="30" t="inlineStr">
        <is>
          <t>Familia (común)</t>
        </is>
      </c>
      <c r="C34" s="30" t="inlineStr">
        <is>
          <t>Documentos</t>
        </is>
      </c>
      <c r="D34" s="30" t="inlineStr">
        <is>
          <t>Reserva del alojamiento impresa</t>
        </is>
      </c>
      <c r="E34" s="31" t="inlineStr">
        <is>
          <t>Normal</t>
        </is>
      </c>
      <c r="F34" s="32" t="n">
        <v>0</v>
      </c>
      <c r="G34" s="33" t="n">
        <v>1</v>
      </c>
      <c r="H34" s="33" t="n"/>
      <c r="I34" s="11">
        <f>IF(D34="","",MIN(IF(H34="",99999,H34),-INT(-(F34*Viaje!$C$10*IFERROR(INDEX(Viaje!$D$14:$D$20,MATCH(B34,Viaje!$B$14:$B$20,0)),1))))+G34)</f>
        <v/>
      </c>
      <c r="J34" s="33" t="n">
        <v>1</v>
      </c>
      <c r="K34" s="16">
        <f>IF(D34="","",MAX(I34-J34,0))</f>
        <v/>
      </c>
      <c r="L34" s="15">
        <f>IF(D34="","",IF(I34=0,"Sin cantidad",IF(J34&gt;=I34,"Listo",IF(J34&gt;0,"Parcial","Pendiente"))))</f>
        <v/>
      </c>
      <c r="M34" s="34" t="n">
        <v>0.02</v>
      </c>
      <c r="N34" s="35">
        <f>IF(OR(D34="",M34=""),"",ROUND(I34*M34,2))</f>
        <v/>
      </c>
      <c r="O34" s="30" t="inlineStr">
        <is>
          <t>Bolso de mano</t>
        </is>
      </c>
      <c r="P34" s="36">
        <f>IF(OR(D34="",K34=0),"",IF(E34="Esencial",3,IF(E34="Opcional",1,2))*1000+K34+ROW()/100000)</f>
        <v/>
      </c>
    </row>
    <row r="35">
      <c r="B35" s="30" t="inlineStr">
        <is>
          <t>Familia (común)</t>
        </is>
      </c>
      <c r="C35" s="30" t="inlineStr">
        <is>
          <t>Botiquín</t>
        </is>
      </c>
      <c r="D35" s="30" t="inlineStr">
        <is>
          <t>Botiquín básico (tiritas, antiséptico)</t>
        </is>
      </c>
      <c r="E35" s="31" t="inlineStr">
        <is>
          <t>Esencial</t>
        </is>
      </c>
      <c r="F35" s="32" t="n">
        <v>0</v>
      </c>
      <c r="G35" s="33" t="n">
        <v>1</v>
      </c>
      <c r="H35" s="33" t="n"/>
      <c r="I35" s="11">
        <f>IF(D35="","",MIN(IF(H35="",99999,H35),-INT(-(F35*Viaje!$C$10*IFERROR(INDEX(Viaje!$D$14:$D$20,MATCH(B35,Viaje!$B$14:$B$20,0)),1))))+G35)</f>
        <v/>
      </c>
      <c r="J35" s="33" t="n">
        <v>1</v>
      </c>
      <c r="K35" s="16">
        <f>IF(D35="","",MAX(I35-J35,0))</f>
        <v/>
      </c>
      <c r="L35" s="15">
        <f>IF(D35="","",IF(I35=0,"Sin cantidad",IF(J35&gt;=I35,"Listo",IF(J35&gt;0,"Parcial","Pendiente"))))</f>
        <v/>
      </c>
      <c r="M35" s="34" t="n">
        <v>0.5</v>
      </c>
      <c r="N35" s="35">
        <f>IF(OR(D35="",M35=""),"",ROUND(I35*M35,2))</f>
        <v/>
      </c>
      <c r="O35" s="30" t="inlineStr">
        <is>
          <t>Maleta cabina</t>
        </is>
      </c>
      <c r="P35" s="36">
        <f>IF(OR(D35="",K35=0),"",IF(E35="Esencial",3,IF(E35="Opcional",1,2))*1000+K35+ROW()/100000)</f>
        <v/>
      </c>
    </row>
    <row r="36">
      <c r="B36" s="30" t="inlineStr">
        <is>
          <t>Familia (común)</t>
        </is>
      </c>
      <c r="C36" s="30" t="inlineStr">
        <is>
          <t>Botiquín</t>
        </is>
      </c>
      <c r="D36" s="30" t="inlineStr">
        <is>
          <t>Termómetro y medicación habitual</t>
        </is>
      </c>
      <c r="E36" s="31" t="inlineStr">
        <is>
          <t>Esencial</t>
        </is>
      </c>
      <c r="F36" s="32" t="n">
        <v>0</v>
      </c>
      <c r="G36" s="33" t="n">
        <v>1</v>
      </c>
      <c r="H36" s="33" t="n"/>
      <c r="I36" s="11">
        <f>IF(D36="","",MIN(IF(H36="",99999,H36),-INT(-(F36*Viaje!$C$10*IFERROR(INDEX(Viaje!$D$14:$D$20,MATCH(B36,Viaje!$B$14:$B$20,0)),1))))+G36)</f>
        <v/>
      </c>
      <c r="J36" s="33" t="n">
        <v>1</v>
      </c>
      <c r="K36" s="16">
        <f>IF(D36="","",MAX(I36-J36,0))</f>
        <v/>
      </c>
      <c r="L36" s="15">
        <f>IF(D36="","",IF(I36=0,"Sin cantidad",IF(J36&gt;=I36,"Listo",IF(J36&gt;0,"Parcial","Pendiente"))))</f>
        <v/>
      </c>
      <c r="M36" s="34" t="n">
        <v>0.3</v>
      </c>
      <c r="N36" s="35">
        <f>IF(OR(D36="",M36=""),"",ROUND(I36*M36,2))</f>
        <v/>
      </c>
      <c r="O36" s="30" t="inlineStr">
        <is>
          <t>Maleta cabina</t>
        </is>
      </c>
      <c r="P36" s="36">
        <f>IF(OR(D36="",K36=0),"",IF(E36="Esencial",3,IF(E36="Opcional",1,2))*1000+K36+ROW()/100000)</f>
        <v/>
      </c>
    </row>
    <row r="37">
      <c r="B37" s="30" t="inlineStr">
        <is>
          <t>Familia (común)</t>
        </is>
      </c>
      <c r="C37" s="30" t="inlineStr">
        <is>
          <t>Aseo</t>
        </is>
      </c>
      <c r="D37" s="30" t="inlineStr">
        <is>
          <t>Crema solar y after-sun</t>
        </is>
      </c>
      <c r="E37" s="31" t="inlineStr">
        <is>
          <t>Esencial</t>
        </is>
      </c>
      <c r="F37" s="32" t="n">
        <v>0</v>
      </c>
      <c r="G37" s="33" t="n">
        <v>2</v>
      </c>
      <c r="H37" s="33" t="n"/>
      <c r="I37" s="11">
        <f>IF(D37="","",MIN(IF(H37="",99999,H37),-INT(-(F37*Viaje!$C$10*IFERROR(INDEX(Viaje!$D$14:$D$20,MATCH(B37,Viaje!$B$14:$B$20,0)),1))))+G37)</f>
        <v/>
      </c>
      <c r="J37" s="33" t="n">
        <v>1</v>
      </c>
      <c r="K37" s="16">
        <f>IF(D37="","",MAX(I37-J37,0))</f>
        <v/>
      </c>
      <c r="L37" s="15">
        <f>IF(D37="","",IF(I37=0,"Sin cantidad",IF(J37&gt;=I37,"Listo",IF(J37&gt;0,"Parcial","Pendiente"))))</f>
        <v/>
      </c>
      <c r="M37" s="34" t="n">
        <v>0.4</v>
      </c>
      <c r="N37" s="35">
        <f>IF(OR(D37="",M37=""),"",ROUND(I37*M37,2))</f>
        <v/>
      </c>
      <c r="O37" s="30" t="inlineStr">
        <is>
          <t>Maleta cabina</t>
        </is>
      </c>
      <c r="P37" s="36">
        <f>IF(OR(D37="",K37=0),"",IF(E37="Esencial",3,IF(E37="Opcional",1,2))*1000+K37+ROW()/100000)</f>
        <v/>
      </c>
    </row>
    <row r="38">
      <c r="B38" s="30" t="inlineStr">
        <is>
          <t>Familia (común)</t>
        </is>
      </c>
      <c r="C38" s="30" t="inlineStr">
        <is>
          <t>Aseo</t>
        </is>
      </c>
      <c r="D38" s="30" t="inlineStr">
        <is>
          <t>Repelente de mosquitos</t>
        </is>
      </c>
      <c r="E38" s="31" t="inlineStr">
        <is>
          <t>Normal</t>
        </is>
      </c>
      <c r="F38" s="32" t="n">
        <v>0</v>
      </c>
      <c r="G38" s="33" t="n">
        <v>1</v>
      </c>
      <c r="H38" s="33" t="n"/>
      <c r="I38" s="11">
        <f>IF(D38="","",MIN(IF(H38="",99999,H38),-INT(-(F38*Viaje!$C$10*IFERROR(INDEX(Viaje!$D$14:$D$20,MATCH(B38,Viaje!$B$14:$B$20,0)),1))))+G38)</f>
        <v/>
      </c>
      <c r="J38" s="33" t="n">
        <v>0</v>
      </c>
      <c r="K38" s="16">
        <f>IF(D38="","",MAX(I38-J38,0))</f>
        <v/>
      </c>
      <c r="L38" s="15">
        <f>IF(D38="","",IF(I38=0,"Sin cantidad",IF(J38&gt;=I38,"Listo",IF(J38&gt;0,"Parcial","Pendiente"))))</f>
        <v/>
      </c>
      <c r="M38" s="34" t="n">
        <v>0.2</v>
      </c>
      <c r="N38" s="35">
        <f>IF(OR(D38="",M38=""),"",ROUND(I38*M38,2))</f>
        <v/>
      </c>
      <c r="O38" s="30" t="inlineStr">
        <is>
          <t>Maleta cabina</t>
        </is>
      </c>
      <c r="P38" s="36">
        <f>IF(OR(D38="",K38=0),"",IF(E38="Esencial",3,IF(E38="Opcional",1,2))*1000+K38+ROW()/100000)</f>
        <v/>
      </c>
    </row>
    <row r="39">
      <c r="B39" s="30" t="inlineStr">
        <is>
          <t>Familia (común)</t>
        </is>
      </c>
      <c r="C39" s="30" t="inlineStr">
        <is>
          <t>Playa y piscina</t>
        </is>
      </c>
      <c r="D39" s="30" t="inlineStr">
        <is>
          <t>Toallas de playa</t>
        </is>
      </c>
      <c r="E39" s="31" t="inlineStr">
        <is>
          <t>Normal</t>
        </is>
      </c>
      <c r="F39" s="32" t="n">
        <v>0</v>
      </c>
      <c r="G39" s="33" t="n">
        <v>4</v>
      </c>
      <c r="H39" s="33" t="n"/>
      <c r="I39" s="11">
        <f>IF(D39="","",MIN(IF(H39="",99999,H39),-INT(-(F39*Viaje!$C$10*IFERROR(INDEX(Viaje!$D$14:$D$20,MATCH(B39,Viaje!$B$14:$B$20,0)),1))))+G39)</f>
        <v/>
      </c>
      <c r="J39" s="33" t="n">
        <v>2</v>
      </c>
      <c r="K39" s="16">
        <f>IF(D39="","",MAX(I39-J39,0))</f>
        <v/>
      </c>
      <c r="L39" s="15">
        <f>IF(D39="","",IF(I39=0,"Sin cantidad",IF(J39&gt;=I39,"Listo",IF(J39&gt;0,"Parcial","Pendiente"))))</f>
        <v/>
      </c>
      <c r="M39" s="34" t="n">
        <v>0.5</v>
      </c>
      <c r="N39" s="35">
        <f>IF(OR(D39="",M39=""),"",ROUND(I39*M39,2))</f>
        <v/>
      </c>
      <c r="O39" s="30" t="inlineStr">
        <is>
          <t>Maleta grande</t>
        </is>
      </c>
      <c r="P39" s="36">
        <f>IF(OR(D39="",K39=0),"",IF(E39="Esencial",3,IF(E39="Opcional",1,2))*1000+K39+ROW()/100000)</f>
        <v/>
      </c>
    </row>
    <row r="40">
      <c r="B40" s="30" t="inlineStr">
        <is>
          <t>Familia (común)</t>
        </is>
      </c>
      <c r="C40" s="30" t="inlineStr">
        <is>
          <t>Playa y piscina</t>
        </is>
      </c>
      <c r="D40" s="30" t="inlineStr">
        <is>
          <t>Sombrilla y cubo con palas</t>
        </is>
      </c>
      <c r="E40" s="31" t="inlineStr">
        <is>
          <t>Opcional</t>
        </is>
      </c>
      <c r="F40" s="32" t="n">
        <v>0</v>
      </c>
      <c r="G40" s="33" t="n">
        <v>2</v>
      </c>
      <c r="H40" s="33" t="n"/>
      <c r="I40" s="11">
        <f>IF(D40="","",MIN(IF(H40="",99999,H40),-INT(-(F40*Viaje!$C$10*IFERROR(INDEX(Viaje!$D$14:$D$20,MATCH(B40,Viaje!$B$14:$B$20,0)),1))))+G40)</f>
        <v/>
      </c>
      <c r="J40" s="33" t="n">
        <v>0</v>
      </c>
      <c r="K40" s="16">
        <f>IF(D40="","",MAX(I40-J40,0))</f>
        <v/>
      </c>
      <c r="L40" s="15">
        <f>IF(D40="","",IF(I40=0,"Sin cantidad",IF(J40&gt;=I40,"Listo",IF(J40&gt;0,"Parcial","Pendiente"))))</f>
        <v/>
      </c>
      <c r="M40" s="34" t="n">
        <v>1.4</v>
      </c>
      <c r="N40" s="35">
        <f>IF(OR(D40="",M40=""),"",ROUND(I40*M40,2))</f>
        <v/>
      </c>
      <c r="O40" s="30" t="inlineStr">
        <is>
          <t>Maleta grande</t>
        </is>
      </c>
      <c r="P40" s="36">
        <f>IF(OR(D40="",K40=0),"",IF(E40="Esencial",3,IF(E40="Opcional",1,2))*1000+K40+ROW()/100000)</f>
        <v/>
      </c>
    </row>
    <row r="41">
      <c r="B41" s="30" t="inlineStr">
        <is>
          <t>Familia (común)</t>
        </is>
      </c>
      <c r="C41" s="30" t="inlineStr">
        <is>
          <t>Entretenimiento</t>
        </is>
      </c>
      <c r="D41" s="30" t="inlineStr">
        <is>
          <t>Juegos de cartas y mesa</t>
        </is>
      </c>
      <c r="E41" s="31" t="inlineStr">
        <is>
          <t>Opcional</t>
        </is>
      </c>
      <c r="F41" s="32" t="n">
        <v>0</v>
      </c>
      <c r="G41" s="33" t="n">
        <v>2</v>
      </c>
      <c r="H41" s="33" t="n"/>
      <c r="I41" s="11">
        <f>IF(D41="","",MIN(IF(H41="",99999,H41),-INT(-(F41*Viaje!$C$10*IFERROR(INDEX(Viaje!$D$14:$D$20,MATCH(B41,Viaje!$B$14:$B$20,0)),1))))+G41)</f>
        <v/>
      </c>
      <c r="J41" s="33" t="n">
        <v>0</v>
      </c>
      <c r="K41" s="16">
        <f>IF(D41="","",MAX(I41-J41,0))</f>
        <v/>
      </c>
      <c r="L41" s="15">
        <f>IF(D41="","",IF(I41=0,"Sin cantidad",IF(J41&gt;=I41,"Listo",IF(J41&gt;0,"Parcial","Pendiente"))))</f>
        <v/>
      </c>
      <c r="M41" s="34" t="n">
        <v>0.3</v>
      </c>
      <c r="N41" s="35">
        <f>IF(OR(D41="",M41=""),"",ROUND(I41*M41,2))</f>
        <v/>
      </c>
      <c r="O41" s="30" t="inlineStr">
        <is>
          <t>Maleta cabina</t>
        </is>
      </c>
      <c r="P41" s="36">
        <f>IF(OR(D41="",K41=0),"",IF(E41="Esencial",3,IF(E41="Opcional",1,2))*1000+K41+ROW()/100000)</f>
        <v/>
      </c>
    </row>
    <row r="42">
      <c r="B42" s="30" t="inlineStr">
        <is>
          <t>Familia (común)</t>
        </is>
      </c>
      <c r="C42" s="30" t="inlineStr">
        <is>
          <t>Electrónica</t>
        </is>
      </c>
      <c r="D42" s="30" t="inlineStr">
        <is>
          <t>Cargadores y batería externa</t>
        </is>
      </c>
      <c r="E42" s="31" t="inlineStr">
        <is>
          <t>Normal</t>
        </is>
      </c>
      <c r="F42" s="32" t="n">
        <v>0</v>
      </c>
      <c r="G42" s="33" t="n">
        <v>3</v>
      </c>
      <c r="H42" s="33" t="n"/>
      <c r="I42" s="11">
        <f>IF(D42="","",MIN(IF(H42="",99999,H42),-INT(-(F42*Viaje!$C$10*IFERROR(INDEX(Viaje!$D$14:$D$20,MATCH(B42,Viaje!$B$14:$B$20,0)),1))))+G42)</f>
        <v/>
      </c>
      <c r="J42" s="33" t="n">
        <v>3</v>
      </c>
      <c r="K42" s="16">
        <f>IF(D42="","",MAX(I42-J42,0))</f>
        <v/>
      </c>
      <c r="L42" s="15">
        <f>IF(D42="","",IF(I42=0,"Sin cantidad",IF(J42&gt;=I42,"Listo",IF(J42&gt;0,"Parcial","Pendiente"))))</f>
        <v/>
      </c>
      <c r="M42" s="34" t="n">
        <v>0.2</v>
      </c>
      <c r="N42" s="35">
        <f>IF(OR(D42="",M42=""),"",ROUND(I42*M42,2))</f>
        <v/>
      </c>
      <c r="O42" s="30" t="inlineStr">
        <is>
          <t>Bolso de mano</t>
        </is>
      </c>
      <c r="P42" s="36">
        <f>IF(OR(D42="",K42=0),"",IF(E42="Esencial",3,IF(E42="Opcional",1,2))*1000+K42+ROW()/100000)</f>
        <v/>
      </c>
    </row>
    <row r="43">
      <c r="B43" s="30" t="inlineStr">
        <is>
          <t>Familia (común)</t>
        </is>
      </c>
      <c r="C43" s="30" t="inlineStr">
        <is>
          <t>Comida y snacks</t>
        </is>
      </c>
      <c r="D43" s="30" t="inlineStr">
        <is>
          <t>Snacks y agua para el coche</t>
        </is>
      </c>
      <c r="E43" s="31" t="inlineStr">
        <is>
          <t>Normal</t>
        </is>
      </c>
      <c r="F43" s="32" t="n">
        <v>0</v>
      </c>
      <c r="G43" s="33" t="n">
        <v>1</v>
      </c>
      <c r="H43" s="33" t="n"/>
      <c r="I43" s="11">
        <f>IF(D43="","",MIN(IF(H43="",99999,H43),-INT(-(F43*Viaje!$C$10*IFERROR(INDEX(Viaje!$D$14:$D$20,MATCH(B43,Viaje!$B$14:$B$20,0)),1))))+G43)</f>
        <v/>
      </c>
      <c r="J43" s="33" t="n">
        <v>0</v>
      </c>
      <c r="K43" s="16">
        <f>IF(D43="","",MAX(I43-J43,0))</f>
        <v/>
      </c>
      <c r="L43" s="15">
        <f>IF(D43="","",IF(I43=0,"Sin cantidad",IF(J43&gt;=I43,"Listo",IF(J43&gt;0,"Parcial","Pendiente"))))</f>
        <v/>
      </c>
      <c r="M43" s="34" t="n">
        <v>2</v>
      </c>
      <c r="N43" s="35">
        <f>IF(OR(D43="",M43=""),"",ROUND(I43*M43,2))</f>
        <v/>
      </c>
      <c r="O43" s="30" t="inlineStr">
        <is>
          <t>Bolso de mano</t>
        </is>
      </c>
      <c r="P43" s="36">
        <f>IF(OR(D43="",K43=0),"",IF(E43="Esencial",3,IF(E43="Opcional",1,2))*1000+K43+ROW()/100000)</f>
        <v/>
      </c>
    </row>
    <row r="44">
      <c r="B44" s="30" t="n"/>
      <c r="C44" s="30" t="n"/>
      <c r="D44" s="30" t="n"/>
      <c r="E44" s="31" t="n"/>
      <c r="F44" s="32" t="n"/>
      <c r="G44" s="33" t="n"/>
      <c r="H44" s="33" t="n"/>
      <c r="I44" s="11">
        <f>IF(D44="","",MIN(IF(H44="",99999,H44),-INT(-(F44*Viaje!$C$10*IFERROR(INDEX(Viaje!$D$14:$D$20,MATCH(B44,Viaje!$B$14:$B$20,0)),1))))+G44)</f>
        <v/>
      </c>
      <c r="J44" s="33" t="n"/>
      <c r="K44" s="16">
        <f>IF(D44="","",MAX(I44-J44,0))</f>
        <v/>
      </c>
      <c r="L44" s="15">
        <f>IF(D44="","",IF(I44=0,"Sin cantidad",IF(J44&gt;=I44,"Listo",IF(J44&gt;0,"Parcial","Pendiente"))))</f>
        <v/>
      </c>
      <c r="M44" s="34" t="n"/>
      <c r="N44" s="35">
        <f>IF(OR(D44="",M44=""),"",ROUND(I44*M44,2))</f>
        <v/>
      </c>
      <c r="O44" s="30" t="n"/>
      <c r="P44" s="36">
        <f>IF(OR(D44="",K44=0),"",IF(E44="Esencial",3,IF(E44="Opcional",1,2))*1000+K44+ROW()/100000)</f>
        <v/>
      </c>
    </row>
    <row r="45">
      <c r="B45" s="30" t="n"/>
      <c r="C45" s="30" t="n"/>
      <c r="D45" s="30" t="n"/>
      <c r="E45" s="31" t="n"/>
      <c r="F45" s="32" t="n"/>
      <c r="G45" s="33" t="n"/>
      <c r="H45" s="33" t="n"/>
      <c r="I45" s="11">
        <f>IF(D45="","",MIN(IF(H45="",99999,H45),-INT(-(F45*Viaje!$C$10*IFERROR(INDEX(Viaje!$D$14:$D$20,MATCH(B45,Viaje!$B$14:$B$20,0)),1))))+G45)</f>
        <v/>
      </c>
      <c r="J45" s="33" t="n"/>
      <c r="K45" s="16">
        <f>IF(D45="","",MAX(I45-J45,0))</f>
        <v/>
      </c>
      <c r="L45" s="15">
        <f>IF(D45="","",IF(I45=0,"Sin cantidad",IF(J45&gt;=I45,"Listo",IF(J45&gt;0,"Parcial","Pendiente"))))</f>
        <v/>
      </c>
      <c r="M45" s="34" t="n"/>
      <c r="N45" s="35">
        <f>IF(OR(D45="",M45=""),"",ROUND(I45*M45,2))</f>
        <v/>
      </c>
      <c r="O45" s="30" t="n"/>
      <c r="P45" s="36">
        <f>IF(OR(D45="",K45=0),"",IF(E45="Esencial",3,IF(E45="Opcional",1,2))*1000+K45+ROW()/100000)</f>
        <v/>
      </c>
    </row>
    <row r="46">
      <c r="B46" s="30" t="n"/>
      <c r="C46" s="30" t="n"/>
      <c r="D46" s="30" t="n"/>
      <c r="E46" s="31" t="n"/>
      <c r="F46" s="32" t="n"/>
      <c r="G46" s="33" t="n"/>
      <c r="H46" s="33" t="n"/>
      <c r="I46" s="11">
        <f>IF(D46="","",MIN(IF(H46="",99999,H46),-INT(-(F46*Viaje!$C$10*IFERROR(INDEX(Viaje!$D$14:$D$20,MATCH(B46,Viaje!$B$14:$B$20,0)),1))))+G46)</f>
        <v/>
      </c>
      <c r="J46" s="33" t="n"/>
      <c r="K46" s="16">
        <f>IF(D46="","",MAX(I46-J46,0))</f>
        <v/>
      </c>
      <c r="L46" s="15">
        <f>IF(D46="","",IF(I46=0,"Sin cantidad",IF(J46&gt;=I46,"Listo",IF(J46&gt;0,"Parcial","Pendiente"))))</f>
        <v/>
      </c>
      <c r="M46" s="34" t="n"/>
      <c r="N46" s="35">
        <f>IF(OR(D46="",M46=""),"",ROUND(I46*M46,2))</f>
        <v/>
      </c>
      <c r="O46" s="30" t="n"/>
      <c r="P46" s="36">
        <f>IF(OR(D46="",K46=0),"",IF(E46="Esencial",3,IF(E46="Opcional",1,2))*1000+K46+ROW()/100000)</f>
        <v/>
      </c>
    </row>
    <row r="47">
      <c r="B47" s="30" t="n"/>
      <c r="C47" s="30" t="n"/>
      <c r="D47" s="30" t="n"/>
      <c r="E47" s="31" t="n"/>
      <c r="F47" s="32" t="n"/>
      <c r="G47" s="33" t="n"/>
      <c r="H47" s="33" t="n"/>
      <c r="I47" s="11">
        <f>IF(D47="","",MIN(IF(H47="",99999,H47),-INT(-(F47*Viaje!$C$10*IFERROR(INDEX(Viaje!$D$14:$D$20,MATCH(B47,Viaje!$B$14:$B$20,0)),1))))+G47)</f>
        <v/>
      </c>
      <c r="J47" s="33" t="n"/>
      <c r="K47" s="16">
        <f>IF(D47="","",MAX(I47-J47,0))</f>
        <v/>
      </c>
      <c r="L47" s="15">
        <f>IF(D47="","",IF(I47=0,"Sin cantidad",IF(J47&gt;=I47,"Listo",IF(J47&gt;0,"Parcial","Pendiente"))))</f>
        <v/>
      </c>
      <c r="M47" s="34" t="n"/>
      <c r="N47" s="35">
        <f>IF(OR(D47="",M47=""),"",ROUND(I47*M47,2))</f>
        <v/>
      </c>
      <c r="O47" s="30" t="n"/>
      <c r="P47" s="36">
        <f>IF(OR(D47="",K47=0),"",IF(E47="Esencial",3,IF(E47="Opcional",1,2))*1000+K47+ROW()/100000)</f>
        <v/>
      </c>
    </row>
    <row r="48">
      <c r="B48" s="30" t="n"/>
      <c r="C48" s="30" t="n"/>
      <c r="D48" s="30" t="n"/>
      <c r="E48" s="31" t="n"/>
      <c r="F48" s="32" t="n"/>
      <c r="G48" s="33" t="n"/>
      <c r="H48" s="33" t="n"/>
      <c r="I48" s="11">
        <f>IF(D48="","",MIN(IF(H48="",99999,H48),-INT(-(F48*Viaje!$C$10*IFERROR(INDEX(Viaje!$D$14:$D$20,MATCH(B48,Viaje!$B$14:$B$20,0)),1))))+G48)</f>
        <v/>
      </c>
      <c r="J48" s="33" t="n"/>
      <c r="K48" s="16">
        <f>IF(D48="","",MAX(I48-J48,0))</f>
        <v/>
      </c>
      <c r="L48" s="15">
        <f>IF(D48="","",IF(I48=0,"Sin cantidad",IF(J48&gt;=I48,"Listo",IF(J48&gt;0,"Parcial","Pendiente"))))</f>
        <v/>
      </c>
      <c r="M48" s="34" t="n"/>
      <c r="N48" s="35">
        <f>IF(OR(D48="",M48=""),"",ROUND(I48*M48,2))</f>
        <v/>
      </c>
      <c r="O48" s="30" t="n"/>
      <c r="P48" s="36">
        <f>IF(OR(D48="",K48=0),"",IF(E48="Esencial",3,IF(E48="Opcional",1,2))*1000+K48+ROW()/100000)</f>
        <v/>
      </c>
    </row>
    <row r="49">
      <c r="B49" s="30" t="n"/>
      <c r="C49" s="30" t="n"/>
      <c r="D49" s="30" t="n"/>
      <c r="E49" s="31" t="n"/>
      <c r="F49" s="32" t="n"/>
      <c r="G49" s="33" t="n"/>
      <c r="H49" s="33" t="n"/>
      <c r="I49" s="11">
        <f>IF(D49="","",MIN(IF(H49="",99999,H49),-INT(-(F49*Viaje!$C$10*IFERROR(INDEX(Viaje!$D$14:$D$20,MATCH(B49,Viaje!$B$14:$B$20,0)),1))))+G49)</f>
        <v/>
      </c>
      <c r="J49" s="33" t="n"/>
      <c r="K49" s="16">
        <f>IF(D49="","",MAX(I49-J49,0))</f>
        <v/>
      </c>
      <c r="L49" s="15">
        <f>IF(D49="","",IF(I49=0,"Sin cantidad",IF(J49&gt;=I49,"Listo",IF(J49&gt;0,"Parcial","Pendiente"))))</f>
        <v/>
      </c>
      <c r="M49" s="34" t="n"/>
      <c r="N49" s="35">
        <f>IF(OR(D49="",M49=""),"",ROUND(I49*M49,2))</f>
        <v/>
      </c>
      <c r="O49" s="30" t="n"/>
      <c r="P49" s="36">
        <f>IF(OR(D49="",K49=0),"",IF(E49="Esencial",3,IF(E49="Opcional",1,2))*1000+K49+ROW()/100000)</f>
        <v/>
      </c>
    </row>
    <row r="50">
      <c r="B50" s="30" t="n"/>
      <c r="C50" s="30" t="n"/>
      <c r="D50" s="30" t="n"/>
      <c r="E50" s="31" t="n"/>
      <c r="F50" s="32" t="n"/>
      <c r="G50" s="33" t="n"/>
      <c r="H50" s="33" t="n"/>
      <c r="I50" s="11">
        <f>IF(D50="","",MIN(IF(H50="",99999,H50),-INT(-(F50*Viaje!$C$10*IFERROR(INDEX(Viaje!$D$14:$D$20,MATCH(B50,Viaje!$B$14:$B$20,0)),1))))+G50)</f>
        <v/>
      </c>
      <c r="J50" s="33" t="n"/>
      <c r="K50" s="16">
        <f>IF(D50="","",MAX(I50-J50,0))</f>
        <v/>
      </c>
      <c r="L50" s="15">
        <f>IF(D50="","",IF(I50=0,"Sin cantidad",IF(J50&gt;=I50,"Listo",IF(J50&gt;0,"Parcial","Pendiente"))))</f>
        <v/>
      </c>
      <c r="M50" s="34" t="n"/>
      <c r="N50" s="35">
        <f>IF(OR(D50="",M50=""),"",ROUND(I50*M50,2))</f>
        <v/>
      </c>
      <c r="O50" s="30" t="n"/>
      <c r="P50" s="36">
        <f>IF(OR(D50="",K50=0),"",IF(E50="Esencial",3,IF(E50="Opcional",1,2))*1000+K50+ROW()/100000)</f>
        <v/>
      </c>
    </row>
    <row r="51">
      <c r="B51" s="30" t="n"/>
      <c r="C51" s="30" t="n"/>
      <c r="D51" s="30" t="n"/>
      <c r="E51" s="31" t="n"/>
      <c r="F51" s="32" t="n"/>
      <c r="G51" s="33" t="n"/>
      <c r="H51" s="33" t="n"/>
      <c r="I51" s="11">
        <f>IF(D51="","",MIN(IF(H51="",99999,H51),-INT(-(F51*Viaje!$C$10*IFERROR(INDEX(Viaje!$D$14:$D$20,MATCH(B51,Viaje!$B$14:$B$20,0)),1))))+G51)</f>
        <v/>
      </c>
      <c r="J51" s="33" t="n"/>
      <c r="K51" s="16">
        <f>IF(D51="","",MAX(I51-J51,0))</f>
        <v/>
      </c>
      <c r="L51" s="15">
        <f>IF(D51="","",IF(I51=0,"Sin cantidad",IF(J51&gt;=I51,"Listo",IF(J51&gt;0,"Parcial","Pendiente"))))</f>
        <v/>
      </c>
      <c r="M51" s="34" t="n"/>
      <c r="N51" s="35">
        <f>IF(OR(D51="",M51=""),"",ROUND(I51*M51,2))</f>
        <v/>
      </c>
      <c r="O51" s="30" t="n"/>
      <c r="P51" s="36">
        <f>IF(OR(D51="",K51=0),"",IF(E51="Esencial",3,IF(E51="Opcional",1,2))*1000+K51+ROW()/100000)</f>
        <v/>
      </c>
    </row>
    <row r="52">
      <c r="B52" s="30" t="n"/>
      <c r="C52" s="30" t="n"/>
      <c r="D52" s="30" t="n"/>
      <c r="E52" s="31" t="n"/>
      <c r="F52" s="32" t="n"/>
      <c r="G52" s="33" t="n"/>
      <c r="H52" s="33" t="n"/>
      <c r="I52" s="11">
        <f>IF(D52="","",MIN(IF(H52="",99999,H52),-INT(-(F52*Viaje!$C$10*IFERROR(INDEX(Viaje!$D$14:$D$20,MATCH(B52,Viaje!$B$14:$B$20,0)),1))))+G52)</f>
        <v/>
      </c>
      <c r="J52" s="33" t="n"/>
      <c r="K52" s="16">
        <f>IF(D52="","",MAX(I52-J52,0))</f>
        <v/>
      </c>
      <c r="L52" s="15">
        <f>IF(D52="","",IF(I52=0,"Sin cantidad",IF(J52&gt;=I52,"Listo",IF(J52&gt;0,"Parcial","Pendiente"))))</f>
        <v/>
      </c>
      <c r="M52" s="34" t="n"/>
      <c r="N52" s="35">
        <f>IF(OR(D52="",M52=""),"",ROUND(I52*M52,2))</f>
        <v/>
      </c>
      <c r="O52" s="30" t="n"/>
      <c r="P52" s="36">
        <f>IF(OR(D52="",K52=0),"",IF(E52="Esencial",3,IF(E52="Opcional",1,2))*1000+K52+ROW()/100000)</f>
        <v/>
      </c>
    </row>
    <row r="53">
      <c r="B53" s="30" t="n"/>
      <c r="C53" s="30" t="n"/>
      <c r="D53" s="30" t="n"/>
      <c r="E53" s="31" t="n"/>
      <c r="F53" s="32" t="n"/>
      <c r="G53" s="33" t="n"/>
      <c r="H53" s="33" t="n"/>
      <c r="I53" s="11">
        <f>IF(D53="","",MIN(IF(H53="",99999,H53),-INT(-(F53*Viaje!$C$10*IFERROR(INDEX(Viaje!$D$14:$D$20,MATCH(B53,Viaje!$B$14:$B$20,0)),1))))+G53)</f>
        <v/>
      </c>
      <c r="J53" s="33" t="n"/>
      <c r="K53" s="16">
        <f>IF(D53="","",MAX(I53-J53,0))</f>
        <v/>
      </c>
      <c r="L53" s="15">
        <f>IF(D53="","",IF(I53=0,"Sin cantidad",IF(J53&gt;=I53,"Listo",IF(J53&gt;0,"Parcial","Pendiente"))))</f>
        <v/>
      </c>
      <c r="M53" s="34" t="n"/>
      <c r="N53" s="35">
        <f>IF(OR(D53="",M53=""),"",ROUND(I53*M53,2))</f>
        <v/>
      </c>
      <c r="O53" s="30" t="n"/>
      <c r="P53" s="36">
        <f>IF(OR(D53="",K53=0),"",IF(E53="Esencial",3,IF(E53="Opcional",1,2))*1000+K53+ROW()/100000)</f>
        <v/>
      </c>
    </row>
    <row r="54">
      <c r="B54" s="30" t="n"/>
      <c r="C54" s="30" t="n"/>
      <c r="D54" s="30" t="n"/>
      <c r="E54" s="31" t="n"/>
      <c r="F54" s="32" t="n"/>
      <c r="G54" s="33" t="n"/>
      <c r="H54" s="33" t="n"/>
      <c r="I54" s="11">
        <f>IF(D54="","",MIN(IF(H54="",99999,H54),-INT(-(F54*Viaje!$C$10*IFERROR(INDEX(Viaje!$D$14:$D$20,MATCH(B54,Viaje!$B$14:$B$20,0)),1))))+G54)</f>
        <v/>
      </c>
      <c r="J54" s="33" t="n"/>
      <c r="K54" s="16">
        <f>IF(D54="","",MAX(I54-J54,0))</f>
        <v/>
      </c>
      <c r="L54" s="15">
        <f>IF(D54="","",IF(I54=0,"Sin cantidad",IF(J54&gt;=I54,"Listo",IF(J54&gt;0,"Parcial","Pendiente"))))</f>
        <v/>
      </c>
      <c r="M54" s="34" t="n"/>
      <c r="N54" s="35">
        <f>IF(OR(D54="",M54=""),"",ROUND(I54*M54,2))</f>
        <v/>
      </c>
      <c r="O54" s="30" t="n"/>
      <c r="P54" s="36">
        <f>IF(OR(D54="",K54=0),"",IF(E54="Esencial",3,IF(E54="Opcional",1,2))*1000+K54+ROW()/100000)</f>
        <v/>
      </c>
    </row>
    <row r="55">
      <c r="B55" s="30" t="n"/>
      <c r="C55" s="30" t="n"/>
      <c r="D55" s="30" t="n"/>
      <c r="E55" s="31" t="n"/>
      <c r="F55" s="32" t="n"/>
      <c r="G55" s="33" t="n"/>
      <c r="H55" s="33" t="n"/>
      <c r="I55" s="11">
        <f>IF(D55="","",MIN(IF(H55="",99999,H55),-INT(-(F55*Viaje!$C$10*IFERROR(INDEX(Viaje!$D$14:$D$20,MATCH(B55,Viaje!$B$14:$B$20,0)),1))))+G55)</f>
        <v/>
      </c>
      <c r="J55" s="33" t="n"/>
      <c r="K55" s="16">
        <f>IF(D55="","",MAX(I55-J55,0))</f>
        <v/>
      </c>
      <c r="L55" s="15">
        <f>IF(D55="","",IF(I55=0,"Sin cantidad",IF(J55&gt;=I55,"Listo",IF(J55&gt;0,"Parcial","Pendiente"))))</f>
        <v/>
      </c>
      <c r="M55" s="34" t="n"/>
      <c r="N55" s="35">
        <f>IF(OR(D55="",M55=""),"",ROUND(I55*M55,2))</f>
        <v/>
      </c>
      <c r="O55" s="30" t="n"/>
      <c r="P55" s="36">
        <f>IF(OR(D55="",K55=0),"",IF(E55="Esencial",3,IF(E55="Opcional",1,2))*1000+K55+ROW()/100000)</f>
        <v/>
      </c>
    </row>
    <row r="56">
      <c r="B56" s="30" t="n"/>
      <c r="C56" s="30" t="n"/>
      <c r="D56" s="30" t="n"/>
      <c r="E56" s="31" t="n"/>
      <c r="F56" s="32" t="n"/>
      <c r="G56" s="33" t="n"/>
      <c r="H56" s="33" t="n"/>
      <c r="I56" s="11">
        <f>IF(D56="","",MIN(IF(H56="",99999,H56),-INT(-(F56*Viaje!$C$10*IFERROR(INDEX(Viaje!$D$14:$D$20,MATCH(B56,Viaje!$B$14:$B$20,0)),1))))+G56)</f>
        <v/>
      </c>
      <c r="J56" s="33" t="n"/>
      <c r="K56" s="16">
        <f>IF(D56="","",MAX(I56-J56,0))</f>
        <v/>
      </c>
      <c r="L56" s="15">
        <f>IF(D56="","",IF(I56=0,"Sin cantidad",IF(J56&gt;=I56,"Listo",IF(J56&gt;0,"Parcial","Pendiente"))))</f>
        <v/>
      </c>
      <c r="M56" s="34" t="n"/>
      <c r="N56" s="35">
        <f>IF(OR(D56="",M56=""),"",ROUND(I56*M56,2))</f>
        <v/>
      </c>
      <c r="O56" s="30" t="n"/>
      <c r="P56" s="36">
        <f>IF(OR(D56="",K56=0),"",IF(E56="Esencial",3,IF(E56="Opcional",1,2))*1000+K56+ROW()/100000)</f>
        <v/>
      </c>
    </row>
    <row r="57">
      <c r="B57" s="30" t="n"/>
      <c r="C57" s="30" t="n"/>
      <c r="D57" s="30" t="n"/>
      <c r="E57" s="31" t="n"/>
      <c r="F57" s="32" t="n"/>
      <c r="G57" s="33" t="n"/>
      <c r="H57" s="33" t="n"/>
      <c r="I57" s="11">
        <f>IF(D57="","",MIN(IF(H57="",99999,H57),-INT(-(F57*Viaje!$C$10*IFERROR(INDEX(Viaje!$D$14:$D$20,MATCH(B57,Viaje!$B$14:$B$20,0)),1))))+G57)</f>
        <v/>
      </c>
      <c r="J57" s="33" t="n"/>
      <c r="K57" s="16">
        <f>IF(D57="","",MAX(I57-J57,0))</f>
        <v/>
      </c>
      <c r="L57" s="15">
        <f>IF(D57="","",IF(I57=0,"Sin cantidad",IF(J57&gt;=I57,"Listo",IF(J57&gt;0,"Parcial","Pendiente"))))</f>
        <v/>
      </c>
      <c r="M57" s="34" t="n"/>
      <c r="N57" s="35">
        <f>IF(OR(D57="",M57=""),"",ROUND(I57*M57,2))</f>
        <v/>
      </c>
      <c r="O57" s="30" t="n"/>
      <c r="P57" s="36">
        <f>IF(OR(D57="",K57=0),"",IF(E57="Esencial",3,IF(E57="Opcional",1,2))*1000+K57+ROW()/100000)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L8:L57">
    <cfRule type="cellIs" priority="1" operator="equal" dxfId="2">
      <formula>"Listo"</formula>
    </cfRule>
    <cfRule type="cellIs" priority="2" operator="equal" dxfId="1">
      <formula>"Parcial"</formula>
    </cfRule>
    <cfRule type="cellIs" priority="3" operator="equal" dxfId="0">
      <formula>"Pendiente"</formula>
    </cfRule>
  </conditionalFormatting>
  <conditionalFormatting sqref="E8:E57">
    <cfRule type="cellIs" priority="4" operator="equal" dxfId="0">
      <formula>"Esencial"</formula>
    </cfRule>
  </conditionalFormatting>
  <conditionalFormatting sqref="N8:N57">
    <cfRule type="dataBar" priority="5">
      <dataBar>
        <cfvo type="num" val="0"/>
        <cfvo type="max"/>
        <color rgb="0010B981"/>
      </dataBar>
    </cfRule>
  </conditionalFormatting>
  <dataValidations count="7">
    <dataValidation sqref="B8:B57" showDropDown="0" showInputMessage="0" showErrorMessage="0" allowBlank="1" type="list">
      <formula1>=Viaje!$B$14:$B$20</formula1>
    </dataValidation>
    <dataValidation sqref="C8:C57" showDropDown="0" showInputMessage="0" showErrorMessage="0" allowBlank="1" type="list">
      <formula1>=Listas!$A$2:$A$11</formula1>
    </dataValidation>
    <dataValidation sqref="E8:E57" showDropDown="0" showInputMessage="0" showErrorMessage="0" allowBlank="1" type="list">
      <formula1>=Listas!$B$2:$B$4</formula1>
    </dataValidation>
    <dataValidation sqref="O8:O57" showDropDown="0" showInputMessage="0" showErrorMessage="0" allowBlank="1" type="list">
      <formula1>=Listas!$C$2:$C$5</formula1>
    </dataValidation>
    <dataValidation sqref="F8:F57" showDropDown="0" showInputMessage="0" showErrorMessage="1" allowBlank="1" errorTitle="Por día" error="Escribe una cantidad por día entre 0 y 100 (admite decimales, p. ej. 0,5)." type="decimal" operator="between">
      <formula1>0</formula1>
      <formula2>100</formula2>
    </dataValidation>
    <dataValidation sqref="G8:H57 J8:J57" showDropDown="0" showInputMessage="0" showErrorMessage="1" allowBlank="1" errorTitle="Cantidad" error="Escribe un número entero (0-999)." type="whole" operator="between">
      <formula1>0</formula1>
      <formula2>999</formula2>
    </dataValidation>
    <dataValidation sqref="M8:M57" showDropDown="0" showInputMessage="0" showErrorMessage="1" allowBlank="1" errorTitle="Peso" error="Escribe un peso en kg entre 0 y 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G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2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2" ht="34" customHeight="1">
      <c r="B2" s="1" t="inlineStr">
        <is>
          <t>Datos del viaje y de la familia</t>
        </is>
      </c>
      <c r="C2" s="2" t="n"/>
      <c r="D2" s="2" t="n"/>
      <c r="E2" s="2" t="n"/>
      <c r="F2" s="2" t="n"/>
      <c r="G2" s="2" t="n"/>
    </row>
    <row r="3">
      <c r="B3" s="3" t="inlineStr">
        <is>
          <t>Fechas, días de ropa a cubrir y quién viaja. Con esto la plantilla calcula cuánto llevar de cada cosa.</t>
        </is>
      </c>
    </row>
    <row r="4">
      <c r="E4" s="37" t="inlineStr">
        <is>
          <t>FACTOR DE CONSUMO POR TIPO</t>
        </is>
      </c>
    </row>
    <row r="5" ht="22" customHeight="1">
      <c r="B5" s="8" t="inlineStr">
        <is>
          <t>Destino</t>
        </is>
      </c>
      <c r="C5" s="30" t="inlineStr">
        <is>
          <t>Costa de Cádiz (apartamento)</t>
        </is>
      </c>
      <c r="E5" s="13" t="inlineStr">
        <is>
          <t>Tipo</t>
        </is>
      </c>
      <c r="F5" s="13" t="inlineStr">
        <is>
          <t>Factor</t>
        </is>
      </c>
    </row>
    <row r="6">
      <c r="B6" s="8" t="inlineStr">
        <is>
          <t>Fecha de salida</t>
        </is>
      </c>
      <c r="C6" s="38" t="n">
        <v>46592</v>
      </c>
      <c r="E6" s="30" t="inlineStr">
        <is>
          <t>Adulto</t>
        </is>
      </c>
      <c r="F6" s="34" t="n">
        <v>1</v>
      </c>
      <c r="G6" s="24" t="inlineStr">
        <is>
          <t>Los niños manchan más y los bebés</t>
        </is>
      </c>
    </row>
    <row r="7">
      <c r="B7" s="8" t="inlineStr">
        <is>
          <t>Fecha de vuelta</t>
        </is>
      </c>
      <c r="C7" s="38" t="n">
        <v>46600</v>
      </c>
      <c r="E7" s="30" t="inlineStr">
        <is>
          <t>Niño</t>
        </is>
      </c>
      <c r="F7" s="34" t="n">
        <v>1.3</v>
      </c>
      <c r="G7" s="24" t="inlineStr">
        <is>
          <t>cambian más a menudo: ajusta el factor</t>
        </is>
      </c>
    </row>
    <row r="8">
      <c r="B8" s="8" t="inlineStr">
        <is>
          <t>Días de viaje</t>
        </is>
      </c>
      <c r="C8" s="11">
        <f>IF(OR(C6="",C7=""),0,MAX(C7-C6+1,1))</f>
        <v/>
      </c>
      <c r="E8" s="30" t="inlineStr">
        <is>
          <t>Bebé</t>
        </is>
      </c>
      <c r="F8" s="34" t="n">
        <v>1.5</v>
      </c>
      <c r="G8" s="24" t="inlineStr">
        <is>
          <t>a tu familia (parámetros editables).</t>
        </is>
      </c>
    </row>
    <row r="9">
      <c r="B9" s="8" t="inlineStr">
        <is>
          <t>Días entre coladas (0 = no lavas)</t>
        </is>
      </c>
      <c r="C9" s="33" t="n">
        <v>10</v>
      </c>
      <c r="D9" s="24" t="inlineStr">
        <is>
          <t>← Si el viaje dura más, se lleva ropa solo hasta la colada.</t>
        </is>
      </c>
      <c r="E9" s="30" t="inlineStr">
        <is>
          <t>Común</t>
        </is>
      </c>
      <c r="F9" s="34" t="n">
        <v>1</v>
      </c>
    </row>
    <row r="10">
      <c r="B10" s="8" t="inlineStr">
        <is>
          <t>Días de ropa a cubrir</t>
        </is>
      </c>
      <c r="C10" s="11">
        <f>IF(C9&gt;0,MIN(C8,C9),C8)</f>
        <v/>
      </c>
      <c r="D10" s="24" t="inlineStr">
        <is>
          <t>← Es lo que multiplica a la cantidad «por día».</t>
        </is>
      </c>
    </row>
    <row r="12">
      <c r="B12" s="12" t="inlineStr">
        <is>
          <t>QUIÉN VIAJA</t>
        </is>
      </c>
    </row>
    <row r="13" ht="24" customHeight="1">
      <c r="B13" s="13" t="inlineStr">
        <is>
          <t>Persona</t>
        </is>
      </c>
      <c r="C13" s="13" t="inlineStr">
        <is>
          <t>Tipo</t>
        </is>
      </c>
      <c r="D13" s="13" t="inlineStr">
        <is>
          <t>Factor</t>
        </is>
      </c>
      <c r="E13" s="13" t="inlineStr">
        <is>
          <t>Edad (años)</t>
        </is>
      </c>
    </row>
    <row r="14">
      <c r="B14" s="30" t="inlineStr">
        <is>
          <t>Familia (común)</t>
        </is>
      </c>
      <c r="C14" s="31" t="inlineStr">
        <is>
          <t>Común</t>
        </is>
      </c>
      <c r="D14" s="35">
        <f>IF(B14="","",IFERROR(INDEX($F$6:$F$9,MATCH(C14,$E$6:$E$9,0)),1))</f>
        <v/>
      </c>
      <c r="E14" s="33" t="n"/>
    </row>
    <row r="15">
      <c r="B15" s="30" t="inlineStr">
        <is>
          <t>Marta</t>
        </is>
      </c>
      <c r="C15" s="31" t="inlineStr">
        <is>
          <t>Adulto</t>
        </is>
      </c>
      <c r="D15" s="35">
        <f>IF(B15="","",IFERROR(INDEX($F$6:$F$9,MATCH(C15,$E$6:$E$9,0)),1))</f>
        <v/>
      </c>
      <c r="E15" s="33" t="n">
        <v>38</v>
      </c>
    </row>
    <row r="16">
      <c r="B16" s="30" t="inlineStr">
        <is>
          <t>Pablo</t>
        </is>
      </c>
      <c r="C16" s="31" t="inlineStr">
        <is>
          <t>Adulto</t>
        </is>
      </c>
      <c r="D16" s="35">
        <f>IF(B16="","",IFERROR(INDEX($F$6:$F$9,MATCH(C16,$E$6:$E$9,0)),1))</f>
        <v/>
      </c>
      <c r="E16" s="33" t="n">
        <v>40</v>
      </c>
    </row>
    <row r="17">
      <c r="B17" s="30" t="inlineStr">
        <is>
          <t>Lucas</t>
        </is>
      </c>
      <c r="C17" s="31" t="inlineStr">
        <is>
          <t>Niño</t>
        </is>
      </c>
      <c r="D17" s="35">
        <f>IF(B17="","",IFERROR(INDEX($F$6:$F$9,MATCH(C17,$E$6:$E$9,0)),1))</f>
        <v/>
      </c>
      <c r="E17" s="33" t="n">
        <v>6</v>
      </c>
    </row>
    <row r="18">
      <c r="B18" s="30" t="inlineStr">
        <is>
          <t>Sofía</t>
        </is>
      </c>
      <c r="C18" s="31" t="inlineStr">
        <is>
          <t>Bebé</t>
        </is>
      </c>
      <c r="D18" s="35">
        <f>IF(B18="","",IFERROR(INDEX($F$6:$F$9,MATCH(C18,$E$6:$E$9,0)),1))</f>
        <v/>
      </c>
      <c r="E18" s="33" t="n">
        <v>1</v>
      </c>
    </row>
    <row r="19">
      <c r="B19" s="30" t="n"/>
      <c r="C19" s="31" t="n"/>
      <c r="D19" s="35">
        <f>IF(B19="","",IFERROR(INDEX($F$6:$F$9,MATCH(C19,$E$6:$E$9,0)),1))</f>
        <v/>
      </c>
      <c r="E19" s="33" t="n"/>
    </row>
    <row r="20">
      <c r="B20" s="30" t="n"/>
      <c r="C20" s="31" t="n"/>
      <c r="D20" s="35">
        <f>IF(B20="","",IFERROR(INDEX($F$6:$F$9,MATCH(C20,$E$6:$E$9,0)),1))</f>
        <v/>
      </c>
      <c r="E20" s="33" t="n"/>
    </row>
    <row r="22">
      <c r="B22" s="24" t="inlineStr">
        <is>
          <t>La fila «Familia (común)» sirve para lo que es de todos: documentos, botiquín, juegos, cargadores...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G3"/>
    <mergeCell ref="B2:G2"/>
    <mergeCell ref="C5:D5"/>
  </mergeCells>
  <dataValidations count="4">
    <dataValidation sqref="C14:C20" showDropDown="0" showInputMessage="0" showErrorMessage="0" allowBlank="1" type="list">
      <formula1>=$E$6:$E$9</formula1>
    </dataValidation>
    <dataValidation sqref="F6:F9" showDropDown="0" showInputMessage="0" showErrorMessage="1" allowBlank="0" errorTitle="Factor" error="Escribe un factor entre 0 y 10 (1 = consumo normal)." type="decimal" operator="between">
      <formula1>0</formula1>
      <formula2>10</formula2>
    </dataValidation>
    <dataValidation sqref="C9" showDropDown="0" showInputMessage="0" showErrorMessage="1" allowBlank="0" errorTitle="Días" error="Escribe un número entero de días (0-365)." type="whole" operator="between">
      <formula1>0</formula1>
      <formula2>365</formula2>
    </dataValidation>
    <dataValidation sqref="C6:C7" showDropDown="0" showInputMessage="0" showErrorMessage="1" allowBlank="1" errorTitle="Fecha" error="Introduce una fecha válida (dd/mm/aaaa)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Lista de equipaje familiar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39" t="inlineStr">
        <is>
          <t>1.  En la hoja «Viaje» escribe el destino y las fechas de salida y vuelta: los días de viaje se calculan solos.</t>
        </is>
      </c>
    </row>
    <row r="7" ht="30" customHeight="1">
      <c r="B7" s="39" t="inlineStr">
        <is>
          <t>2.  Indica cada cuántos días vas a poder lavar ropa (celda C9, 0 si no lavas): la ropa se calcula solo hasta ese plazo, aunque el viaje sea más largo.</t>
        </is>
      </c>
    </row>
    <row r="8" ht="30" customHeight="1">
      <c r="B8" s="39" t="inlineStr">
        <is>
          <t>3.  Escribe quién viaja en «Viaje» (hasta 7 filas) y elige su tipo: Adulto, Niño, Bebé o Común. La fila «Común» sirve para documentos, botiquín y cosas de todos.</t>
        </is>
      </c>
    </row>
    <row r="9" ht="30" customHeight="1">
      <c r="B9" s="39" t="inlineStr">
        <is>
          <t>4.  Ajusta si quieres el factor de consumo de cada tipo (por defecto 1, 1,3 y 1,5): los niños manchan más ropa y los bebés se cambian más a menudo.</t>
        </is>
      </c>
    </row>
    <row r="10" ht="30" customHeight="1">
      <c r="B10" s="39" t="inlineStr">
        <is>
          <t>5.  En «Equipaje» escribe un artículo por fila (hasta la 57): persona, categoría, artículo y prioridad (Esencial, Normal u Opcional).</t>
        </is>
      </c>
    </row>
    <row r="11" ht="30" customHeight="1">
      <c r="B11" s="39" t="inlineStr">
        <is>
          <t>6.  Rellena «Por día» (p. ej. 1 camiseta al día, 0,5 pantalones) y/o «Fijo» (cosas que no dependen de los días, como el neceser). «Tope» limita la parte por día; «A llevar» se calcula solo.</t>
        </is>
      </c>
    </row>
    <row r="12" ht="30" customHeight="1">
      <c r="B12" s="39" t="inlineStr">
        <is>
          <t>7.  Cuando metas algo en la maleta, anota en «Preparado» cuántas unidades llevas. «Falta» y «Estado» (Listo, Parcial o Pendiente) se actualizan solos.</t>
        </is>
      </c>
    </row>
    <row r="13" ht="30" customHeight="1">
      <c r="B13" s="39" t="inlineStr">
        <is>
          <t>8.  Opcional: apunta el peso unitario y la maleta de cada artículo. En el «Panel» verás el peso por bulto con su aviso si superas el límite que tú pongas.</t>
        </is>
      </c>
    </row>
    <row r="14" ht="30" customHeight="1">
      <c r="B14" s="39" t="inlineStr">
        <is>
          <t>9.  Mira el «Panel»: % preparado de la familia y de cada persona, avance por categoría y los 8 artículos más urgentes por meter, ordenados por prioridad.</t>
        </is>
      </c>
    </row>
    <row r="16">
      <c r="B16" s="12" t="inlineStr">
        <is>
          <t>CONSEJOS</t>
        </is>
      </c>
    </row>
    <row r="17" ht="18" customHeight="1">
      <c r="B17" s="39" t="inlineStr">
        <is>
          <t>•  Prueba a cambiar las fechas en «Viaje»: toda la lista recalcula cuánto llevar.</t>
        </is>
      </c>
    </row>
    <row r="18" ht="30" customHeight="1">
      <c r="B18" s="39" t="inlineStr">
        <is>
          <t>•  Los datos (Marta, Pablo, Lucas, Sofía) son ficticios; bórralos y escribe los tuyos. Las filas hasta la 57 ya tienen todas las fórmulas.</t>
        </is>
      </c>
    </row>
    <row r="19" ht="30" customHeight="1">
      <c r="B19" s="39" t="inlineStr">
        <is>
          <t>•  El «Panel» agrupa por las 10 categorías de la lista desplegable; si escribes una categoría distinta, no se sumará a su tabla.</t>
        </is>
      </c>
    </row>
    <row r="20" ht="30" customHeight="1">
      <c r="B20" s="39" t="inlineStr">
        <is>
          <t>•  La columna oculta «Clave (aux.)» de «Equipaje» es auxiliar para el ranking del Panel: no la borres.</t>
        </is>
      </c>
    </row>
    <row r="21" ht="30" customHeight="1">
      <c r="B21" s="39" t="inlineStr">
        <is>
          <t>•  Las hojas están protegidas sin contraseña para no romper fórmulas: Revisar &gt; Desproteger hoja si quieres modificar algo.</t>
        </is>
      </c>
    </row>
    <row r="23">
      <c r="B23" s="24" t="inlineStr">
        <is>
          <t>Las celdas con fondo crema y texto azul son para rellenar; las verdes se calculan solas.</t>
        </is>
      </c>
    </row>
    <row r="25" ht="44" customHeight="1">
      <c r="B25" s="40" t="inlineStr">
        <is>
          <t>Aviso: las cantidades por día, los factores y los límites de peso son orientativos y editables; no son normas oficiales. Consulta las condiciones de equipaje de tu aerolínea o transporte, y para el botiquín y la medicación de los niños, sigue siempre el consejo de tu pediatra o farmacéutico.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Prioridad</t>
        </is>
      </c>
      <c r="C1" t="inlineStr">
        <is>
          <t>Maleta</t>
        </is>
      </c>
    </row>
    <row r="2">
      <c r="A2" t="inlineStr">
        <is>
          <t>Ropa y calzado</t>
        </is>
      </c>
      <c r="B2" t="inlineStr">
        <is>
          <t>Esencial</t>
        </is>
      </c>
      <c r="C2" t="inlineStr">
        <is>
          <t>Maleta grande</t>
        </is>
      </c>
    </row>
    <row r="3">
      <c r="A3" t="inlineStr">
        <is>
          <t>Aseo</t>
        </is>
      </c>
      <c r="B3" t="inlineStr">
        <is>
          <t>Normal</t>
        </is>
      </c>
      <c r="C3" t="inlineStr">
        <is>
          <t>Maleta cabina</t>
        </is>
      </c>
    </row>
    <row r="4">
      <c r="A4" t="inlineStr">
        <is>
          <t>Botiquín</t>
        </is>
      </c>
      <c r="B4" t="inlineStr">
        <is>
          <t>Opcional</t>
        </is>
      </c>
      <c r="C4" t="inlineStr">
        <is>
          <t>Mochila peques</t>
        </is>
      </c>
    </row>
    <row r="5">
      <c r="A5" t="inlineStr">
        <is>
          <t>Entretenimiento</t>
        </is>
      </c>
      <c r="C5" t="inlineStr">
        <is>
          <t>Bolso de mano</t>
        </is>
      </c>
    </row>
    <row r="6">
      <c r="A6" t="inlineStr">
        <is>
          <t>Documentos</t>
        </is>
      </c>
    </row>
    <row r="7">
      <c r="A7" t="inlineStr">
        <is>
          <t>Bebé y niños</t>
        </is>
      </c>
    </row>
    <row r="8">
      <c r="A8" t="inlineStr">
        <is>
          <t>Playa y piscina</t>
        </is>
      </c>
    </row>
    <row r="9">
      <c r="A9" t="inlineStr">
        <is>
          <t>Electrónica</t>
        </is>
      </c>
    </row>
    <row r="10">
      <c r="A10" t="inlineStr">
        <is>
          <t>Comida y snacks</t>
        </is>
      </c>
    </row>
    <row r="11">
      <c r="A11" t="inlineStr">
        <is>
          <t>Otros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2026-10-03T09:40:23Z</dcterms:created>
  <dcterms:modified xmlns:dcterms="http://purl.org/dc/terms/" xmlns:xsi="http://www.w3.org/2001/XMLSchema-instance" xsi:type="dcterms:W3CDTF">2026-10-03T09:40:23Z</dcterms:modified>
</cp:coreProperties>
</file>