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Platos" sheetId="2" state="visible" r:id="rId2"/>
    <sheet xmlns:r="http://schemas.openxmlformats.org/officeDocument/2006/relationships" name="Ingredientes" sheetId="3" state="visible" r:id="rId3"/>
    <sheet xmlns:r="http://schemas.openxmlformats.org/officeDocument/2006/relationships" name="Cronograma" sheetId="4" state="visible" r:id="rId4"/>
    <sheet xmlns:r="http://schemas.openxmlformats.org/officeDocument/2006/relationships" name="Instrucciones" sheetId="5" state="visible" r:id="rId5"/>
    <sheet xmlns:r="http://schemas.openxmlformats.org/officeDocument/2006/relationships" name="Listas" sheetId="6" state="hidden" r:id="rId6"/>
  </sheets>
  <definedNames>
    <definedName name="_xlnm._FilterDatabase" localSheetId="2" hidden="1">'Ingredientes'!$B$7:$N$47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#,##0.00 &quot;€&quot;"/>
    <numFmt numFmtId="165" formatCode="#,##0.0##"/>
    <numFmt numFmtId="166" formatCode="#,##0.00#"/>
    <numFmt numFmtId="167" formatCode="dddd dd/mm/yyyy"/>
    <numFmt numFmtId="168" formatCode="dd/mm/yyyy"/>
    <numFmt numFmtId="169" formatCode="yyyy-mm-dd"/>
    <numFmt numFmtId="170" formatCode="0.0%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2744A"/>
      <sz val="10"/>
    </font>
    <font>
      <name val="Arial"/>
      <b val="1"/>
      <color rgb="000B4A2F"/>
      <sz val="11"/>
    </font>
    <font>
      <name val="Arial"/>
      <b val="1"/>
      <color rgb="00FFFFFF"/>
      <sz val="10"/>
    </font>
    <font>
      <name val="Arial"/>
      <color rgb="001D4ED8"/>
      <sz val="10"/>
    </font>
    <font>
      <name val="Arial"/>
      <color rgb="00047857"/>
      <sz val="10"/>
    </font>
    <font>
      <name val="Arial"/>
      <b val="1"/>
      <color rgb="00047857"/>
      <sz val="10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D1FAE5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9" fillId="0" borderId="0" applyAlignment="1" pivotButton="0" quotePrefix="0" xfId="0">
      <alignment vertical="center"/>
    </xf>
    <xf numFmtId="0" fontId="10" fillId="0" borderId="0" applyAlignment="1" pivotButton="0" quotePrefix="0" xfId="0">
      <alignment vertical="center"/>
    </xf>
    <xf numFmtId="168" fontId="6" fillId="5" borderId="1" applyAlignment="1" applyProtection="1" pivotButton="0" quotePrefix="0" xfId="0">
      <alignment horizontal="center" vertical="center"/>
      <protection locked="0" hidden="0"/>
    </xf>
    <xf numFmtId="0" fontId="10" fillId="0" borderId="0" applyAlignment="1" pivotButton="0" quotePrefix="0" xfId="0">
      <alignment horizontal="right" vertical="center"/>
    </xf>
    <xf numFmtId="3" fontId="8" fillId="0" borderId="1" applyAlignment="1" pivotButton="0" quotePrefix="0" xfId="0">
      <alignment horizontal="center" vertical="center"/>
    </xf>
    <xf numFmtId="3" fontId="6" fillId="5" borderId="1" applyAlignment="1" applyProtection="1" pivotButton="0" quotePrefix="0" xfId="0">
      <alignment horizontal="center" vertical="center"/>
      <protection locked="0" hidden="0"/>
    </xf>
    <xf numFmtId="164" fontId="8" fillId="0" borderId="1" applyAlignment="1" pivotButton="0" quotePrefix="0" xfId="0">
      <alignment horizontal="center" vertical="center"/>
    </xf>
    <xf numFmtId="170" fontId="6" fillId="5" borderId="1" applyAlignment="1" applyProtection="1" pivotButton="0" quotePrefix="0" xfId="0">
      <alignment horizontal="center" vertical="center"/>
      <protection locked="0" hidden="0"/>
    </xf>
    <xf numFmtId="0" fontId="8" fillId="0" borderId="1" applyAlignment="1" pivotButton="0" quotePrefix="0" xfId="0">
      <alignment horizontal="center" vertical="center"/>
    </xf>
    <xf numFmtId="164" fontId="6" fillId="5" borderId="1" applyAlignment="1" applyProtection="1" pivotButton="0" quotePrefix="0" xfId="0">
      <alignment vertical="center"/>
      <protection locked="0" hidden="0"/>
    </xf>
    <xf numFmtId="0" fontId="11" fillId="6" borderId="0" applyAlignment="1" pivotButton="0" quotePrefix="0" xfId="0">
      <alignment horizontal="center" vertical="center" wrapText="1"/>
    </xf>
    <xf numFmtId="164" fontId="12" fillId="6" borderId="0" applyAlignment="1" pivotButton="0" quotePrefix="0" xfId="0">
      <alignment horizontal="center" vertical="center"/>
    </xf>
    <xf numFmtId="170" fontId="12" fillId="6" borderId="0" applyAlignment="1" pivotButton="0" quotePrefix="0" xfId="0">
      <alignment horizontal="center" vertical="center"/>
    </xf>
    <xf numFmtId="3" fontId="12" fillId="6" borderId="0" applyAlignment="1" pivotButton="0" quotePrefix="0" xfId="0">
      <alignment horizontal="center" vertical="center"/>
    </xf>
    <xf numFmtId="168" fontId="12" fillId="6" borderId="0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vertical="center"/>
    </xf>
    <xf numFmtId="3" fontId="7" fillId="0" borderId="1" applyAlignment="1" pivotButton="0" quotePrefix="0" xfId="0">
      <alignment horizontal="center" vertical="center"/>
    </xf>
    <xf numFmtId="164" fontId="7" fillId="0" borderId="1" applyAlignment="1" pivotButton="0" quotePrefix="0" xfId="0">
      <alignment vertical="center"/>
    </xf>
    <xf numFmtId="170" fontId="7" fillId="0" borderId="1" applyAlignment="1" pivotButton="0" quotePrefix="0" xfId="0">
      <alignment vertical="center"/>
    </xf>
    <xf numFmtId="0" fontId="4" fillId="3" borderId="1" applyAlignment="1" pivotButton="0" quotePrefix="0" xfId="0">
      <alignment vertical="center"/>
    </xf>
    <xf numFmtId="3" fontId="4" fillId="3" borderId="1" applyAlignment="1" pivotButton="0" quotePrefix="0" xfId="0">
      <alignment vertical="center"/>
    </xf>
    <xf numFmtId="164" fontId="4" fillId="3" borderId="1" applyAlignment="1" pivotButton="0" quotePrefix="0" xfId="0">
      <alignment vertical="center"/>
    </xf>
    <xf numFmtId="170" fontId="4" fillId="3" borderId="1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6" fillId="5" borderId="1" applyAlignment="1" applyProtection="1" pivotButton="0" quotePrefix="0" xfId="0">
      <alignment vertical="center"/>
      <protection locked="0" hidden="0"/>
    </xf>
    <xf numFmtId="0" fontId="7" fillId="0" borderId="1" applyAlignment="1" pivotButton="0" quotePrefix="0" xfId="0">
      <alignment horizontal="center" vertical="center"/>
    </xf>
    <xf numFmtId="165" fontId="6" fillId="5" borderId="1" applyAlignment="1" applyProtection="1" pivotButton="0" quotePrefix="0" xfId="0">
      <alignment vertical="center"/>
      <protection locked="0" hidden="0"/>
    </xf>
    <xf numFmtId="0" fontId="6" fillId="5" borderId="1" applyAlignment="1" applyProtection="1" pivotButton="0" quotePrefix="0" xfId="0">
      <alignment horizontal="center" vertical="center"/>
      <protection locked="0" hidden="0"/>
    </xf>
    <xf numFmtId="166" fontId="7" fillId="0" borderId="1" applyAlignment="1" pivotButton="0" quotePrefix="0" xfId="0">
      <alignment horizontal="right" vertical="center"/>
    </xf>
    <xf numFmtId="167" fontId="8" fillId="0" borderId="1" applyAlignment="1" pivotButton="0" quotePrefix="0" xfId="0">
      <alignment horizontal="left" vertical="center"/>
    </xf>
    <xf numFmtId="0" fontId="3" fillId="0" borderId="0" applyAlignment="1" pivotButton="0" quotePrefix="0" xfId="0">
      <alignment horizontal="right" vertical="center"/>
    </xf>
    <xf numFmtId="168" fontId="7" fillId="0" borderId="1" applyAlignment="1" pivotButton="0" quotePrefix="0" xfId="0">
      <alignment horizontal="center" vertical="center"/>
    </xf>
    <xf numFmtId="0" fontId="10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5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047857"/>
      </font>
      <fill>
        <patternFill patternType="solid">
          <fgColor rgb="00D1FAE5"/>
          <bgColor rgb="00D1FAE5"/>
        </patternFill>
      </fill>
    </dxf>
    <dxf>
      <font>
        <b val="1"/>
        <color rgb="004B5563"/>
      </font>
      <fill>
        <patternFill patternType="solid">
          <fgColor rgb="00E5E7EB"/>
          <bgColor rgb="00E5E7EB"/>
        </patternFill>
      </fill>
    </dxf>
    <dxf>
      <font>
        <b val="1"/>
        <color rgb="001D4ED8"/>
      </font>
      <fill>
        <patternFill patternType="solid">
          <fgColor rgb="00DBEAFE"/>
          <bgColor rgb="00DBEAF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Coste del menú por tipo de plato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'Resumen'!D18</f>
            </strRef>
          </tx>
          <spPr>
            <a:ln xmlns:a="http://schemas.openxmlformats.org/drawingml/2006/main">
              <a:prstDash val="solid"/>
            </a:ln>
          </spPr>
          <cat>
            <numRef>
              <f>'Resumen'!$B$19:$B$25</f>
            </numRef>
          </cat>
          <val>
            <numRef>
              <f>'Resumen'!$D$19:$D$25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39</row>
      <rowOff>0</rowOff>
    </from>
    <ext cx="792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G3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3" customWidth="1" min="8" max="8"/>
  </cols>
  <sheetData>
    <row r="2" ht="34" customHeight="1">
      <c r="B2" s="1" t="inlineStr">
        <is>
          <t>Menú y compra de la cena de Navidad</t>
        </is>
      </c>
      <c r="C2" s="2" t="n"/>
      <c r="D2" s="2" t="n"/>
      <c r="E2" s="2" t="n"/>
      <c r="F2" s="2" t="n"/>
      <c r="G2" s="2" t="n"/>
    </row>
    <row r="3">
      <c r="B3" s="3" t="inlineStr">
        <is>
          <t>Panel de control: cuánto cuesta el menú, qué te falta por comprar y cómo vas con la preparación.</t>
        </is>
      </c>
    </row>
    <row r="5">
      <c r="B5" s="4" t="inlineStr">
        <is>
          <t>DATOS DE LA CENA</t>
        </is>
      </c>
    </row>
    <row r="6">
      <c r="B6" s="5" t="inlineStr">
        <is>
          <t>Fecha de la cena</t>
        </is>
      </c>
      <c r="C6" s="6" t="n">
        <v>46380</v>
      </c>
      <c r="E6" s="7" t="inlineStr">
        <is>
          <t>Días que faltan</t>
        </is>
      </c>
      <c r="F6" s="8">
        <f>IF(C6="","",MAX(C6-TODAY(),0))</f>
        <v/>
      </c>
    </row>
    <row r="7">
      <c r="B7" s="5" t="inlineStr">
        <is>
          <t>Comensales adultos</t>
        </is>
      </c>
      <c r="C7" s="9" t="n">
        <v>8</v>
      </c>
      <c r="E7" s="7" t="inlineStr">
        <is>
          <t>Total comensales</t>
        </is>
      </c>
      <c r="F7" s="8">
        <f>C7+C8</f>
        <v/>
      </c>
    </row>
    <row r="8">
      <c r="B8" s="5" t="inlineStr">
        <is>
          <t>Comensales niños</t>
        </is>
      </c>
      <c r="C8" s="9" t="n">
        <v>2</v>
      </c>
      <c r="E8" s="7" t="inlineStr">
        <is>
          <t>Presupuesto por comensal</t>
        </is>
      </c>
      <c r="F8" s="10">
        <f>IF(F7=0,0,C10/F7)</f>
        <v/>
      </c>
    </row>
    <row r="9">
      <c r="B9" s="5" t="inlineStr">
        <is>
          <t>Margen de sobrante</t>
        </is>
      </c>
      <c r="C9" s="11" t="n">
        <v>0.1</v>
      </c>
      <c r="E9" s="7" t="inlineStr">
        <is>
          <t>Situación</t>
        </is>
      </c>
      <c r="F9" s="12">
        <f>IF(C10=0,"Sin presupuesto",IF(C12&gt;C10,"Por encima del presupuesto",IF(C12&gt;=C10*0.9,"Cerca del límite","Dentro de presupuesto")))</f>
        <v/>
      </c>
    </row>
    <row r="10">
      <c r="B10" s="5" t="inlineStr">
        <is>
          <t>Presupuesto máximo</t>
        </is>
      </c>
      <c r="C10" s="13" t="n">
        <v>170</v>
      </c>
    </row>
    <row r="11" ht="28" customHeight="1">
      <c r="B11" s="14" t="inlineStr">
        <is>
          <t>COSTE ESTIMADO</t>
        </is>
      </c>
      <c r="C11" s="14" t="inlineStr">
        <is>
          <t>COSTE VIGENTE</t>
        </is>
      </c>
      <c r="D11" s="14" t="inlineStr">
        <is>
          <t>COSTE POR COMENSAL</t>
        </is>
      </c>
      <c r="E11" s="14" t="inlineStr">
        <is>
          <t>DISPONIBLE</t>
        </is>
      </c>
      <c r="F11" s="14" t="inlineStr">
        <is>
          <t>% COMPRADO</t>
        </is>
      </c>
      <c r="G11" s="14" t="inlineStr">
        <is>
          <t>GASTADO (TICKETS)</t>
        </is>
      </c>
    </row>
    <row r="12" ht="30" customHeight="1">
      <c r="B12" s="15">
        <f>Ingredientes!J5</f>
        <v/>
      </c>
      <c r="C12" s="15">
        <f>Ingredientes!N5</f>
        <v/>
      </c>
      <c r="D12" s="15">
        <f>IF(F7=0,0,C12/F7)</f>
        <v/>
      </c>
      <c r="E12" s="15">
        <f>C10-C12</f>
        <v/>
      </c>
      <c r="F12" s="16">
        <f>IF(COUNTA(Ingredientes!$B$8:$B$47)=0,0,COUNTIF(Ingredientes!$L$8:$L$47,"Sí")/COUNTA(Ingredientes!$B$8:$B$47))</f>
        <v/>
      </c>
      <c r="G12" s="15">
        <f>Ingredientes!M5</f>
        <v/>
      </c>
    </row>
    <row r="14" ht="28" customHeight="1">
      <c r="B14" s="14" t="inlineStr">
        <is>
          <t>PLATOS DEL MENÚ</t>
        </is>
      </c>
      <c r="C14" s="14" t="inlineStr">
        <is>
          <t>INGREDIENTES</t>
        </is>
      </c>
      <c r="D14" s="14" t="inlineStr">
        <is>
          <t>ARTÍCULOS POR COMPRAR</t>
        </is>
      </c>
      <c r="E14" s="14" t="inlineStr">
        <is>
          <t>% TAREAS HECHAS</t>
        </is>
      </c>
      <c r="F14" s="14" t="inlineStr">
        <is>
          <t>TAREAS ATRASADAS</t>
        </is>
      </c>
      <c r="G14" s="14" t="inlineStr">
        <is>
          <t>PRÓXIMA TAREA</t>
        </is>
      </c>
    </row>
    <row r="15" ht="30" customHeight="1">
      <c r="B15" s="17">
        <f>COUNTA(Platos!$B$8:$B$19)</f>
        <v/>
      </c>
      <c r="C15" s="17">
        <f>COUNTA(Ingredientes!$B$8:$B$47)</f>
        <v/>
      </c>
      <c r="D15" s="17">
        <f>COUNTA(Ingredientes!$B$8:$B$47)-COUNTIF(Ingredientes!$L$8:$L$47,"Sí")</f>
        <v/>
      </c>
      <c r="E15" s="16">
        <f>IF(COUNTA(Cronograma!$D$8:$D$37)=0,0,COUNTIF(Cronograma!$F$8:$F$37,"Sí")/COUNTA(Cronograma!$D$8:$D$37))</f>
        <v/>
      </c>
      <c r="F15" s="17">
        <f>COUNTIF(Cronograma!$G$8:$G$37,"Atrasada")</f>
        <v/>
      </c>
      <c r="G15" s="18">
        <f>IF(COUNT(Cronograma!$I$8:$I$37)=0,"—",MIN(Cronograma!$I$8:$I$37))</f>
        <v/>
      </c>
    </row>
    <row r="17">
      <c r="B17" s="4" t="inlineStr">
        <is>
          <t>COSTE POR TIPO DE PLATO</t>
        </is>
      </c>
    </row>
    <row r="18" ht="26" customHeight="1">
      <c r="B18" s="19" t="inlineStr">
        <is>
          <t>Tipo</t>
        </is>
      </c>
      <c r="C18" s="19" t="inlineStr">
        <is>
          <t>Platos</t>
        </is>
      </c>
      <c r="D18" s="19" t="inlineStr">
        <is>
          <t>Coste vigente</t>
        </is>
      </c>
      <c r="E18" s="19" t="inlineStr">
        <is>
          <t>% del coste</t>
        </is>
      </c>
      <c r="F18" s="19" t="inlineStr">
        <is>
          <t>Por comensal</t>
        </is>
      </c>
    </row>
    <row r="19">
      <c r="B19" s="20" t="inlineStr">
        <is>
          <t>Aperitivo</t>
        </is>
      </c>
      <c r="C19" s="21">
        <f>COUNTIF(Platos!$C$8:$C$19,$B19)</f>
        <v/>
      </c>
      <c r="D19" s="22">
        <f>SUMIF(Platos!$C$8:$C$19,$B19,Platos!$H$8:$H$19)</f>
        <v/>
      </c>
      <c r="E19" s="23">
        <f>IF($D$26=0,0,D19/$D$26)</f>
        <v/>
      </c>
      <c r="F19" s="22">
        <f>IF($F$7=0,0,D19/$F$7)</f>
        <v/>
      </c>
    </row>
    <row r="20">
      <c r="B20" s="20" t="inlineStr">
        <is>
          <t>Entrante</t>
        </is>
      </c>
      <c r="C20" s="21">
        <f>COUNTIF(Platos!$C$8:$C$19,$B20)</f>
        <v/>
      </c>
      <c r="D20" s="22">
        <f>SUMIF(Platos!$C$8:$C$19,$B20,Platos!$H$8:$H$19)</f>
        <v/>
      </c>
      <c r="E20" s="23">
        <f>IF($D$26=0,0,D20/$D$26)</f>
        <v/>
      </c>
      <c r="F20" s="22">
        <f>IF($F$7=0,0,D20/$F$7)</f>
        <v/>
      </c>
    </row>
    <row r="21">
      <c r="B21" s="20" t="inlineStr">
        <is>
          <t>Primer plato</t>
        </is>
      </c>
      <c r="C21" s="21">
        <f>COUNTIF(Platos!$C$8:$C$19,$B21)</f>
        <v/>
      </c>
      <c r="D21" s="22">
        <f>SUMIF(Platos!$C$8:$C$19,$B21,Platos!$H$8:$H$19)</f>
        <v/>
      </c>
      <c r="E21" s="23">
        <f>IF($D$26=0,0,D21/$D$26)</f>
        <v/>
      </c>
      <c r="F21" s="22">
        <f>IF($F$7=0,0,D21/$F$7)</f>
        <v/>
      </c>
    </row>
    <row r="22">
      <c r="B22" s="20" t="inlineStr">
        <is>
          <t>Plato principal</t>
        </is>
      </c>
      <c r="C22" s="21">
        <f>COUNTIF(Platos!$C$8:$C$19,$B22)</f>
        <v/>
      </c>
      <c r="D22" s="22">
        <f>SUMIF(Platos!$C$8:$C$19,$B22,Platos!$H$8:$H$19)</f>
        <v/>
      </c>
      <c r="E22" s="23">
        <f>IF($D$26=0,0,D22/$D$26)</f>
        <v/>
      </c>
      <c r="F22" s="22">
        <f>IF($F$7=0,0,D22/$F$7)</f>
        <v/>
      </c>
    </row>
    <row r="23">
      <c r="B23" s="20" t="inlineStr">
        <is>
          <t>Postre</t>
        </is>
      </c>
      <c r="C23" s="21">
        <f>COUNTIF(Platos!$C$8:$C$19,$B23)</f>
        <v/>
      </c>
      <c r="D23" s="22">
        <f>SUMIF(Platos!$C$8:$C$19,$B23,Platos!$H$8:$H$19)</f>
        <v/>
      </c>
      <c r="E23" s="23">
        <f>IF($D$26=0,0,D23/$D$26)</f>
        <v/>
      </c>
      <c r="F23" s="22">
        <f>IF($F$7=0,0,D23/$F$7)</f>
        <v/>
      </c>
    </row>
    <row r="24">
      <c r="B24" s="20" t="inlineStr">
        <is>
          <t>Bebidas</t>
        </is>
      </c>
      <c r="C24" s="21">
        <f>COUNTIF(Platos!$C$8:$C$19,$B24)</f>
        <v/>
      </c>
      <c r="D24" s="22">
        <f>SUMIF(Platos!$C$8:$C$19,$B24,Platos!$H$8:$H$19)</f>
        <v/>
      </c>
      <c r="E24" s="23">
        <f>IF($D$26=0,0,D24/$D$26)</f>
        <v/>
      </c>
      <c r="F24" s="22">
        <f>IF($F$7=0,0,D24/$F$7)</f>
        <v/>
      </c>
    </row>
    <row r="25">
      <c r="B25" s="20" t="inlineStr">
        <is>
          <t>Otros</t>
        </is>
      </c>
      <c r="C25" s="21">
        <f>COUNTIF(Platos!$C$8:$C$19,$B25)</f>
        <v/>
      </c>
      <c r="D25" s="22">
        <f>SUMIF(Platos!$C$8:$C$19,$B25,Platos!$H$8:$H$19)</f>
        <v/>
      </c>
      <c r="E25" s="23">
        <f>IF($D$26=0,0,D25/$D$26)</f>
        <v/>
      </c>
      <c r="F25" s="22">
        <f>IF($F$7=0,0,D25/$F$7)</f>
        <v/>
      </c>
    </row>
    <row r="26">
      <c r="B26" s="24" t="inlineStr">
        <is>
          <t>TOTAL</t>
        </is>
      </c>
      <c r="C26" s="25">
        <f>SUM(C19:C25)</f>
        <v/>
      </c>
      <c r="D26" s="26">
        <f>SUM(D19:D25)</f>
        <v/>
      </c>
      <c r="E26" s="27">
        <f>SUM(E19:E25)</f>
        <v/>
      </c>
      <c r="F26" s="26">
        <f>SUM(F19:F25)</f>
        <v/>
      </c>
    </row>
    <row r="27">
      <c r="B27" s="28" t="inlineStr">
        <is>
          <t>Control: platos sin tipo</t>
        </is>
      </c>
      <c r="D27" s="22">
        <f>ROUND(Platos!H5-D26,2)</f>
        <v/>
      </c>
    </row>
    <row r="29">
      <c r="B29" s="4" t="inlineStr">
        <is>
          <t>LISTA DE LA COMPRA POR TIENDA</t>
        </is>
      </c>
    </row>
    <row r="30" ht="26" customHeight="1">
      <c r="B30" s="19" t="inlineStr">
        <is>
          <t>Tienda</t>
        </is>
      </c>
      <c r="C30" s="19" t="inlineStr">
        <is>
          <t>Artículos</t>
        </is>
      </c>
      <c r="D30" s="19" t="inlineStr">
        <is>
          <t>Coste vigente</t>
        </is>
      </c>
      <c r="E30" s="19" t="inlineStr">
        <is>
          <t>Ya comprado</t>
        </is>
      </c>
      <c r="F30" s="19" t="inlineStr">
        <is>
          <t>Por comprar</t>
        </is>
      </c>
    </row>
    <row r="31">
      <c r="B31" s="20" t="inlineStr">
        <is>
          <t>Supermercado</t>
        </is>
      </c>
      <c r="C31" s="21">
        <f>COUNTIF(Ingredientes!$K$8:$K$47,$B31)</f>
        <v/>
      </c>
      <c r="D31" s="22">
        <f>SUMIF(Ingredientes!$K$8:$K$47,$B31,Ingredientes!$N$8:$N$47)</f>
        <v/>
      </c>
      <c r="E31" s="22">
        <f>SUMIFS(Ingredientes!$N$8:$N$47,Ingredientes!$K$8:$K$47,$B31,Ingredientes!$L$8:$L$47,"Sí")</f>
        <v/>
      </c>
      <c r="F31" s="22">
        <f>D31-E31</f>
        <v/>
      </c>
    </row>
    <row r="32">
      <c r="B32" s="20" t="inlineStr">
        <is>
          <t>Carnicería</t>
        </is>
      </c>
      <c r="C32" s="21">
        <f>COUNTIF(Ingredientes!$K$8:$K$47,$B32)</f>
        <v/>
      </c>
      <c r="D32" s="22">
        <f>SUMIF(Ingredientes!$K$8:$K$47,$B32,Ingredientes!$N$8:$N$47)</f>
        <v/>
      </c>
      <c r="E32" s="22">
        <f>SUMIFS(Ingredientes!$N$8:$N$47,Ingredientes!$K$8:$K$47,$B32,Ingredientes!$L$8:$L$47,"Sí")</f>
        <v/>
      </c>
      <c r="F32" s="22">
        <f>D32-E32</f>
        <v/>
      </c>
    </row>
    <row r="33">
      <c r="B33" s="20" t="inlineStr">
        <is>
          <t>Pescadería</t>
        </is>
      </c>
      <c r="C33" s="21">
        <f>COUNTIF(Ingredientes!$K$8:$K$47,$B33)</f>
        <v/>
      </c>
      <c r="D33" s="22">
        <f>SUMIF(Ingredientes!$K$8:$K$47,$B33,Ingredientes!$N$8:$N$47)</f>
        <v/>
      </c>
      <c r="E33" s="22">
        <f>SUMIFS(Ingredientes!$N$8:$N$47,Ingredientes!$K$8:$K$47,$B33,Ingredientes!$L$8:$L$47,"Sí")</f>
        <v/>
      </c>
      <c r="F33" s="22">
        <f>D33-E33</f>
        <v/>
      </c>
    </row>
    <row r="34">
      <c r="B34" s="20" t="inlineStr">
        <is>
          <t>Frutería</t>
        </is>
      </c>
      <c r="C34" s="21">
        <f>COUNTIF(Ingredientes!$K$8:$K$47,$B34)</f>
        <v/>
      </c>
      <c r="D34" s="22">
        <f>SUMIF(Ingredientes!$K$8:$K$47,$B34,Ingredientes!$N$8:$N$47)</f>
        <v/>
      </c>
      <c r="E34" s="22">
        <f>SUMIFS(Ingredientes!$N$8:$N$47,Ingredientes!$K$8:$K$47,$B34,Ingredientes!$L$8:$L$47,"Sí")</f>
        <v/>
      </c>
      <c r="F34" s="22">
        <f>D34-E34</f>
        <v/>
      </c>
    </row>
    <row r="35">
      <c r="B35" s="20" t="inlineStr">
        <is>
          <t>Bodega</t>
        </is>
      </c>
      <c r="C35" s="21">
        <f>COUNTIF(Ingredientes!$K$8:$K$47,$B35)</f>
        <v/>
      </c>
      <c r="D35" s="22">
        <f>SUMIF(Ingredientes!$K$8:$K$47,$B35,Ingredientes!$N$8:$N$47)</f>
        <v/>
      </c>
      <c r="E35" s="22">
        <f>SUMIFS(Ingredientes!$N$8:$N$47,Ingredientes!$K$8:$K$47,$B35,Ingredientes!$L$8:$L$47,"Sí")</f>
        <v/>
      </c>
      <c r="F35" s="22">
        <f>D35-E35</f>
        <v/>
      </c>
    </row>
    <row r="36">
      <c r="B36" s="20" t="inlineStr">
        <is>
          <t>Panadería</t>
        </is>
      </c>
      <c r="C36" s="21">
        <f>COUNTIF(Ingredientes!$K$8:$K$47,$B36)</f>
        <v/>
      </c>
      <c r="D36" s="22">
        <f>SUMIF(Ingredientes!$K$8:$K$47,$B36,Ingredientes!$N$8:$N$47)</f>
        <v/>
      </c>
      <c r="E36" s="22">
        <f>SUMIFS(Ingredientes!$N$8:$N$47,Ingredientes!$K$8:$K$47,$B36,Ingredientes!$L$8:$L$47,"Sí")</f>
        <v/>
      </c>
      <c r="F36" s="22">
        <f>D36-E36</f>
        <v/>
      </c>
    </row>
    <row r="37">
      <c r="B37" s="24" t="inlineStr">
        <is>
          <t>TOTAL</t>
        </is>
      </c>
      <c r="C37" s="25">
        <f>SUM(C31:C36)</f>
        <v/>
      </c>
      <c r="D37" s="26">
        <f>SUM(D31:D36)</f>
        <v/>
      </c>
      <c r="E37" s="26">
        <f>SUM(E31:E36)</f>
        <v/>
      </c>
      <c r="F37" s="26">
        <f>SUM(F31:F36)</f>
        <v/>
      </c>
    </row>
    <row r="38">
      <c r="B38" s="28" t="inlineStr">
        <is>
          <t>Control: artículos sin tienda</t>
        </is>
      </c>
      <c r="D38" s="22">
        <f>ROUND(Ingredientes!N5-D37,2)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3">
    <mergeCell ref="B3:G3"/>
    <mergeCell ref="B2:G2"/>
    <mergeCell ref="F9:G9"/>
  </mergeCells>
  <conditionalFormatting sqref="F9">
    <cfRule type="cellIs" priority="1" operator="equal" dxfId="0">
      <formula>"Por encima del presupuesto"</formula>
    </cfRule>
    <cfRule type="cellIs" priority="2" operator="equal" dxfId="1">
      <formula>"Cerca del límite"</formula>
    </cfRule>
    <cfRule type="cellIs" priority="3" operator="equal" dxfId="2">
      <formula>"Dentro de presupuesto"</formula>
    </cfRule>
  </conditionalFormatting>
  <conditionalFormatting sqref="E12">
    <cfRule type="expression" priority="4" dxfId="0">
      <formula>E12&lt;0</formula>
    </cfRule>
  </conditionalFormatting>
  <conditionalFormatting sqref="F15">
    <cfRule type="expression" priority="5" dxfId="0">
      <formula>F15&gt;0</formula>
    </cfRule>
  </conditionalFormatting>
  <conditionalFormatting sqref="D27">
    <cfRule type="expression" priority="6" dxfId="0">
      <formula>D27&lt;&gt;0</formula>
    </cfRule>
  </conditionalFormatting>
  <conditionalFormatting sqref="E19:E25">
    <cfRule type="dataBar" priority="7">
      <dataBar>
        <cfvo type="num" val="0"/>
        <cfvo type="max"/>
        <color rgb="0010B981"/>
      </dataBar>
    </cfRule>
  </conditionalFormatting>
  <conditionalFormatting sqref="D38">
    <cfRule type="expression" priority="8" dxfId="0">
      <formula>D38&lt;&gt;0</formula>
    </cfRule>
  </conditionalFormatting>
  <conditionalFormatting sqref="F31:F36">
    <cfRule type="dataBar" priority="9">
      <dataBar>
        <cfvo type="num" val="0"/>
        <cfvo type="max"/>
        <color rgb="00F59E0B"/>
      </dataBar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J19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2" customWidth="1" min="2" max="2"/>
    <col width="17" customWidth="1" min="3" max="3"/>
    <col width="15" customWidth="1" min="4" max="4"/>
    <col width="14" customWidth="1" min="5" max="5"/>
    <col width="13" customWidth="1" min="6" max="6"/>
    <col width="14" customWidth="1" min="7" max="7"/>
    <col width="14" customWidth="1" min="8" max="8"/>
    <col width="14" customWidth="1" min="9" max="9"/>
    <col width="15" customWidth="1" min="10" max="10"/>
  </cols>
  <sheetData>
    <row r="2" ht="34" customHeight="1">
      <c r="B2" s="1" t="inlineStr">
        <is>
          <t>Platos del menú</t>
        </is>
      </c>
      <c r="C2" s="2" t="n"/>
      <c r="D2" s="2" t="n"/>
      <c r="E2" s="2" t="n"/>
      <c r="F2" s="2" t="n"/>
      <c r="G2" s="2" t="n"/>
      <c r="H2" s="2" t="n"/>
      <c r="I2" s="2" t="n"/>
      <c r="J2" s="2" t="n"/>
    </row>
    <row r="3">
      <c r="B3" s="3" t="inlineStr">
        <is>
          <t>Un plato por fila. Si no todos los comensales lo toman, escribe cuántos (vacío = todos).</t>
        </is>
      </c>
    </row>
    <row r="5">
      <c r="B5" s="29" t="inlineStr">
        <is>
          <t>TOTALES</t>
        </is>
      </c>
      <c r="F5" s="25">
        <f>SUM(F8:F19)</f>
        <v/>
      </c>
      <c r="G5" s="26">
        <f>SUM(G8:G19)</f>
        <v/>
      </c>
      <c r="H5" s="26">
        <f>SUM(H8:H19)</f>
        <v/>
      </c>
      <c r="I5" s="26">
        <f>IF(Resumen!F7=0,0,H5/Resumen!F7)</f>
        <v/>
      </c>
    </row>
    <row r="7" ht="42" customHeight="1">
      <c r="B7" s="19" t="inlineStr">
        <is>
          <t>Plato</t>
        </is>
      </c>
      <c r="C7" s="19" t="inlineStr">
        <is>
          <t>Tipo</t>
        </is>
      </c>
      <c r="D7" s="19" t="inlineStr">
        <is>
          <t>Comensales (opcional)</t>
        </is>
      </c>
      <c r="E7" s="19" t="inlineStr">
        <is>
          <t>Comensales que lo toman</t>
        </is>
      </c>
      <c r="F7" s="19" t="inlineStr">
        <is>
          <t>Nº de ingredientes</t>
        </is>
      </c>
      <c r="G7" s="19" t="inlineStr">
        <is>
          <t>Coste estimado</t>
        </is>
      </c>
      <c r="H7" s="19" t="inlineStr">
        <is>
          <t>Coste vigente</t>
        </is>
      </c>
      <c r="I7" s="19" t="inlineStr">
        <is>
          <t>Coste por comensal</t>
        </is>
      </c>
      <c r="J7" s="19" t="inlineStr">
        <is>
          <t>Compra</t>
        </is>
      </c>
    </row>
    <row r="8">
      <c r="B8" s="30" t="inlineStr">
        <is>
          <t>Aperitivo de jamón y queso</t>
        </is>
      </c>
      <c r="C8" s="30" t="inlineStr">
        <is>
          <t>Aperitivo</t>
        </is>
      </c>
      <c r="D8" s="9" t="n"/>
      <c r="E8" s="21">
        <f>IF(B8="","",IF(D8="",Resumen!$F$7,D8))</f>
        <v/>
      </c>
      <c r="F8" s="21">
        <f>IF(B8="","",COUNTIF(Ingredientes!$F$8:$F$47,B8))</f>
        <v/>
      </c>
      <c r="G8" s="22">
        <f>IF(B8="","",SUMIF(Ingredientes!$F$8:$F$47,B8,Ingredientes!$J$8:$J$47))</f>
        <v/>
      </c>
      <c r="H8" s="22">
        <f>IF(B8="","",SUMIF(Ingredientes!$F$8:$F$47,B8,Ingredientes!$N$8:$N$47))</f>
        <v/>
      </c>
      <c r="I8" s="22">
        <f>IF(B8="","",IF(E8=0,0,H8/E8))</f>
        <v/>
      </c>
      <c r="J8" s="31">
        <f>IF(B8="","",IF(F8=0,"Sin ingredientes",IF(COUNTIFS(Ingredientes!$F$8:$F$47,B8,Ingredientes!$L$8:$L$47,"Sí")=F8,"Comprado",IF(COUNTIFS(Ingredientes!$F$8:$F$47,B8,Ingredientes!$L$8:$L$47,"Sí")&gt;0,"Parcial","Pendiente"))))</f>
        <v/>
      </c>
    </row>
    <row r="9">
      <c r="B9" s="30" t="inlineStr">
        <is>
          <t>Langostinos cocidos</t>
        </is>
      </c>
      <c r="C9" s="30" t="inlineStr">
        <is>
          <t>Entrante</t>
        </is>
      </c>
      <c r="D9" s="9" t="n">
        <v>8</v>
      </c>
      <c r="E9" s="21">
        <f>IF(B9="","",IF(D9="",Resumen!$F$7,D9))</f>
        <v/>
      </c>
      <c r="F9" s="21">
        <f>IF(B9="","",COUNTIF(Ingredientes!$F$8:$F$47,B9))</f>
        <v/>
      </c>
      <c r="G9" s="22">
        <f>IF(B9="","",SUMIF(Ingredientes!$F$8:$F$47,B9,Ingredientes!$J$8:$J$47))</f>
        <v/>
      </c>
      <c r="H9" s="22">
        <f>IF(B9="","",SUMIF(Ingredientes!$F$8:$F$47,B9,Ingredientes!$N$8:$N$47))</f>
        <v/>
      </c>
      <c r="I9" s="22">
        <f>IF(B9="","",IF(E9=0,0,H9/E9))</f>
        <v/>
      </c>
      <c r="J9" s="31">
        <f>IF(B9="","",IF(F9=0,"Sin ingredientes",IF(COUNTIFS(Ingredientes!$F$8:$F$47,B9,Ingredientes!$L$8:$L$47,"Sí")=F9,"Comprado",IF(COUNTIFS(Ingredientes!$F$8:$F$47,B9,Ingredientes!$L$8:$L$47,"Sí")&gt;0,"Parcial","Pendiente"))))</f>
        <v/>
      </c>
    </row>
    <row r="10">
      <c r="B10" s="30" t="inlineStr">
        <is>
          <t>Crema de calabaza</t>
        </is>
      </c>
      <c r="C10" s="30" t="inlineStr">
        <is>
          <t>Primer plato</t>
        </is>
      </c>
      <c r="D10" s="9" t="n"/>
      <c r="E10" s="21">
        <f>IF(B10="","",IF(D10="",Resumen!$F$7,D10))</f>
        <v/>
      </c>
      <c r="F10" s="21">
        <f>IF(B10="","",COUNTIF(Ingredientes!$F$8:$F$47,B10))</f>
        <v/>
      </c>
      <c r="G10" s="22">
        <f>IF(B10="","",SUMIF(Ingredientes!$F$8:$F$47,B10,Ingredientes!$J$8:$J$47))</f>
        <v/>
      </c>
      <c r="H10" s="22">
        <f>IF(B10="","",SUMIF(Ingredientes!$F$8:$F$47,B10,Ingredientes!$N$8:$N$47))</f>
        <v/>
      </c>
      <c r="I10" s="22">
        <f>IF(B10="","",IF(E10=0,0,H10/E10))</f>
        <v/>
      </c>
      <c r="J10" s="31">
        <f>IF(B10="","",IF(F10=0,"Sin ingredientes",IF(COUNTIFS(Ingredientes!$F$8:$F$47,B10,Ingredientes!$L$8:$L$47,"Sí")=F10,"Comprado",IF(COUNTIFS(Ingredientes!$F$8:$F$47,B10,Ingredientes!$L$8:$L$47,"Sí")&gt;0,"Parcial","Pendiente"))))</f>
        <v/>
      </c>
    </row>
    <row r="11">
      <c r="B11" s="30" t="inlineStr">
        <is>
          <t>Cordero asado con patatas</t>
        </is>
      </c>
      <c r="C11" s="30" t="inlineStr">
        <is>
          <t>Plato principal</t>
        </is>
      </c>
      <c r="D11" s="9" t="n"/>
      <c r="E11" s="21">
        <f>IF(B11="","",IF(D11="",Resumen!$F$7,D11))</f>
        <v/>
      </c>
      <c r="F11" s="21">
        <f>IF(B11="","",COUNTIF(Ingredientes!$F$8:$F$47,B11))</f>
        <v/>
      </c>
      <c r="G11" s="22">
        <f>IF(B11="","",SUMIF(Ingredientes!$F$8:$F$47,B11,Ingredientes!$J$8:$J$47))</f>
        <v/>
      </c>
      <c r="H11" s="22">
        <f>IF(B11="","",SUMIF(Ingredientes!$F$8:$F$47,B11,Ingredientes!$N$8:$N$47))</f>
        <v/>
      </c>
      <c r="I11" s="22">
        <f>IF(B11="","",IF(E11=0,0,H11/E11))</f>
        <v/>
      </c>
      <c r="J11" s="31">
        <f>IF(B11="","",IF(F11=0,"Sin ingredientes",IF(COUNTIFS(Ingredientes!$F$8:$F$47,B11,Ingredientes!$L$8:$L$47,"Sí")=F11,"Comprado",IF(COUNTIFS(Ingredientes!$F$8:$F$47,B11,Ingredientes!$L$8:$L$47,"Sí")&gt;0,"Parcial","Pendiente"))))</f>
        <v/>
      </c>
    </row>
    <row r="12">
      <c r="B12" s="30" t="inlineStr">
        <is>
          <t>Tarta de turrón</t>
        </is>
      </c>
      <c r="C12" s="30" t="inlineStr">
        <is>
          <t>Postre</t>
        </is>
      </c>
      <c r="D12" s="9" t="n"/>
      <c r="E12" s="21">
        <f>IF(B12="","",IF(D12="",Resumen!$F$7,D12))</f>
        <v/>
      </c>
      <c r="F12" s="21">
        <f>IF(B12="","",COUNTIF(Ingredientes!$F$8:$F$47,B12))</f>
        <v/>
      </c>
      <c r="G12" s="22">
        <f>IF(B12="","",SUMIF(Ingredientes!$F$8:$F$47,B12,Ingredientes!$J$8:$J$47))</f>
        <v/>
      </c>
      <c r="H12" s="22">
        <f>IF(B12="","",SUMIF(Ingredientes!$F$8:$F$47,B12,Ingredientes!$N$8:$N$47))</f>
        <v/>
      </c>
      <c r="I12" s="22">
        <f>IF(B12="","",IF(E12=0,0,H12/E12))</f>
        <v/>
      </c>
      <c r="J12" s="31">
        <f>IF(B12="","",IF(F12=0,"Sin ingredientes",IF(COUNTIFS(Ingredientes!$F$8:$F$47,B12,Ingredientes!$L$8:$L$47,"Sí")=F12,"Comprado",IF(COUNTIFS(Ingredientes!$F$8:$F$47,B12,Ingredientes!$L$8:$L$47,"Sí")&gt;0,"Parcial","Pendiente"))))</f>
        <v/>
      </c>
    </row>
    <row r="13">
      <c r="B13" s="30" t="inlineStr">
        <is>
          <t>Bebidas</t>
        </is>
      </c>
      <c r="C13" s="30" t="inlineStr">
        <is>
          <t>Bebidas</t>
        </is>
      </c>
      <c r="D13" s="9" t="n"/>
      <c r="E13" s="21">
        <f>IF(B13="","",IF(D13="",Resumen!$F$7,D13))</f>
        <v/>
      </c>
      <c r="F13" s="21">
        <f>IF(B13="","",COUNTIF(Ingredientes!$F$8:$F$47,B13))</f>
        <v/>
      </c>
      <c r="G13" s="22">
        <f>IF(B13="","",SUMIF(Ingredientes!$F$8:$F$47,B13,Ingredientes!$J$8:$J$47))</f>
        <v/>
      </c>
      <c r="H13" s="22">
        <f>IF(B13="","",SUMIF(Ingredientes!$F$8:$F$47,B13,Ingredientes!$N$8:$N$47))</f>
        <v/>
      </c>
      <c r="I13" s="22">
        <f>IF(B13="","",IF(E13=0,0,H13/E13))</f>
        <v/>
      </c>
      <c r="J13" s="31">
        <f>IF(B13="","",IF(F13=0,"Sin ingredientes",IF(COUNTIFS(Ingredientes!$F$8:$F$47,B13,Ingredientes!$L$8:$L$47,"Sí")=F13,"Comprado",IF(COUNTIFS(Ingredientes!$F$8:$F$47,B13,Ingredientes!$L$8:$L$47,"Sí")&gt;0,"Parcial","Pendiente"))))</f>
        <v/>
      </c>
    </row>
    <row r="14">
      <c r="B14" s="30" t="n"/>
      <c r="C14" s="30" t="n"/>
      <c r="D14" s="9" t="n"/>
      <c r="E14" s="21">
        <f>IF(B14="","",IF(D14="",Resumen!$F$7,D14))</f>
        <v/>
      </c>
      <c r="F14" s="21">
        <f>IF(B14="","",COUNTIF(Ingredientes!$F$8:$F$47,B14))</f>
        <v/>
      </c>
      <c r="G14" s="22">
        <f>IF(B14="","",SUMIF(Ingredientes!$F$8:$F$47,B14,Ingredientes!$J$8:$J$47))</f>
        <v/>
      </c>
      <c r="H14" s="22">
        <f>IF(B14="","",SUMIF(Ingredientes!$F$8:$F$47,B14,Ingredientes!$N$8:$N$47))</f>
        <v/>
      </c>
      <c r="I14" s="22">
        <f>IF(B14="","",IF(E14=0,0,H14/E14))</f>
        <v/>
      </c>
      <c r="J14" s="31">
        <f>IF(B14="","",IF(F14=0,"Sin ingredientes",IF(COUNTIFS(Ingredientes!$F$8:$F$47,B14,Ingredientes!$L$8:$L$47,"Sí")=F14,"Comprado",IF(COUNTIFS(Ingredientes!$F$8:$F$47,B14,Ingredientes!$L$8:$L$47,"Sí")&gt;0,"Parcial","Pendiente"))))</f>
        <v/>
      </c>
    </row>
    <row r="15">
      <c r="B15" s="30" t="n"/>
      <c r="C15" s="30" t="n"/>
      <c r="D15" s="9" t="n"/>
      <c r="E15" s="21">
        <f>IF(B15="","",IF(D15="",Resumen!$F$7,D15))</f>
        <v/>
      </c>
      <c r="F15" s="21">
        <f>IF(B15="","",COUNTIF(Ingredientes!$F$8:$F$47,B15))</f>
        <v/>
      </c>
      <c r="G15" s="22">
        <f>IF(B15="","",SUMIF(Ingredientes!$F$8:$F$47,B15,Ingredientes!$J$8:$J$47))</f>
        <v/>
      </c>
      <c r="H15" s="22">
        <f>IF(B15="","",SUMIF(Ingredientes!$F$8:$F$47,B15,Ingredientes!$N$8:$N$47))</f>
        <v/>
      </c>
      <c r="I15" s="22">
        <f>IF(B15="","",IF(E15=0,0,H15/E15))</f>
        <v/>
      </c>
      <c r="J15" s="31">
        <f>IF(B15="","",IF(F15=0,"Sin ingredientes",IF(COUNTIFS(Ingredientes!$F$8:$F$47,B15,Ingredientes!$L$8:$L$47,"Sí")=F15,"Comprado",IF(COUNTIFS(Ingredientes!$F$8:$F$47,B15,Ingredientes!$L$8:$L$47,"Sí")&gt;0,"Parcial","Pendiente"))))</f>
        <v/>
      </c>
    </row>
    <row r="16">
      <c r="B16" s="30" t="n"/>
      <c r="C16" s="30" t="n"/>
      <c r="D16" s="9" t="n"/>
      <c r="E16" s="21">
        <f>IF(B16="","",IF(D16="",Resumen!$F$7,D16))</f>
        <v/>
      </c>
      <c r="F16" s="21">
        <f>IF(B16="","",COUNTIF(Ingredientes!$F$8:$F$47,B16))</f>
        <v/>
      </c>
      <c r="G16" s="22">
        <f>IF(B16="","",SUMIF(Ingredientes!$F$8:$F$47,B16,Ingredientes!$J$8:$J$47))</f>
        <v/>
      </c>
      <c r="H16" s="22">
        <f>IF(B16="","",SUMIF(Ingredientes!$F$8:$F$47,B16,Ingredientes!$N$8:$N$47))</f>
        <v/>
      </c>
      <c r="I16" s="22">
        <f>IF(B16="","",IF(E16=0,0,H16/E16))</f>
        <v/>
      </c>
      <c r="J16" s="31">
        <f>IF(B16="","",IF(F16=0,"Sin ingredientes",IF(COUNTIFS(Ingredientes!$F$8:$F$47,B16,Ingredientes!$L$8:$L$47,"Sí")=F16,"Comprado",IF(COUNTIFS(Ingredientes!$F$8:$F$47,B16,Ingredientes!$L$8:$L$47,"Sí")&gt;0,"Parcial","Pendiente"))))</f>
        <v/>
      </c>
    </row>
    <row r="17">
      <c r="B17" s="30" t="n"/>
      <c r="C17" s="30" t="n"/>
      <c r="D17" s="9" t="n"/>
      <c r="E17" s="21">
        <f>IF(B17="","",IF(D17="",Resumen!$F$7,D17))</f>
        <v/>
      </c>
      <c r="F17" s="21">
        <f>IF(B17="","",COUNTIF(Ingredientes!$F$8:$F$47,B17))</f>
        <v/>
      </c>
      <c r="G17" s="22">
        <f>IF(B17="","",SUMIF(Ingredientes!$F$8:$F$47,B17,Ingredientes!$J$8:$J$47))</f>
        <v/>
      </c>
      <c r="H17" s="22">
        <f>IF(B17="","",SUMIF(Ingredientes!$F$8:$F$47,B17,Ingredientes!$N$8:$N$47))</f>
        <v/>
      </c>
      <c r="I17" s="22">
        <f>IF(B17="","",IF(E17=0,0,H17/E17))</f>
        <v/>
      </c>
      <c r="J17" s="31">
        <f>IF(B17="","",IF(F17=0,"Sin ingredientes",IF(COUNTIFS(Ingredientes!$F$8:$F$47,B17,Ingredientes!$L$8:$L$47,"Sí")=F17,"Comprado",IF(COUNTIFS(Ingredientes!$F$8:$F$47,B17,Ingredientes!$L$8:$L$47,"Sí")&gt;0,"Parcial","Pendiente"))))</f>
        <v/>
      </c>
    </row>
    <row r="18">
      <c r="B18" s="30" t="n"/>
      <c r="C18" s="30" t="n"/>
      <c r="D18" s="9" t="n"/>
      <c r="E18" s="21">
        <f>IF(B18="","",IF(D18="",Resumen!$F$7,D18))</f>
        <v/>
      </c>
      <c r="F18" s="21">
        <f>IF(B18="","",COUNTIF(Ingredientes!$F$8:$F$47,B18))</f>
        <v/>
      </c>
      <c r="G18" s="22">
        <f>IF(B18="","",SUMIF(Ingredientes!$F$8:$F$47,B18,Ingredientes!$J$8:$J$47))</f>
        <v/>
      </c>
      <c r="H18" s="22">
        <f>IF(B18="","",SUMIF(Ingredientes!$F$8:$F$47,B18,Ingredientes!$N$8:$N$47))</f>
        <v/>
      </c>
      <c r="I18" s="22">
        <f>IF(B18="","",IF(E18=0,0,H18/E18))</f>
        <v/>
      </c>
      <c r="J18" s="31">
        <f>IF(B18="","",IF(F18=0,"Sin ingredientes",IF(COUNTIFS(Ingredientes!$F$8:$F$47,B18,Ingredientes!$L$8:$L$47,"Sí")=F18,"Comprado",IF(COUNTIFS(Ingredientes!$F$8:$F$47,B18,Ingredientes!$L$8:$L$47,"Sí")&gt;0,"Parcial","Pendiente"))))</f>
        <v/>
      </c>
    </row>
    <row r="19">
      <c r="B19" s="30" t="n"/>
      <c r="C19" s="30" t="n"/>
      <c r="D19" s="9" t="n"/>
      <c r="E19" s="21">
        <f>IF(B19="","",IF(D19="",Resumen!$F$7,D19))</f>
        <v/>
      </c>
      <c r="F19" s="21">
        <f>IF(B19="","",COUNTIF(Ingredientes!$F$8:$F$47,B19))</f>
        <v/>
      </c>
      <c r="G19" s="22">
        <f>IF(B19="","",SUMIF(Ingredientes!$F$8:$F$47,B19,Ingredientes!$J$8:$J$47))</f>
        <v/>
      </c>
      <c r="H19" s="22">
        <f>IF(B19="","",SUMIF(Ingredientes!$F$8:$F$47,B19,Ingredientes!$N$8:$N$47))</f>
        <v/>
      </c>
      <c r="I19" s="22">
        <f>IF(B19="","",IF(E19=0,0,H19/E19))</f>
        <v/>
      </c>
      <c r="J19" s="31">
        <f>IF(B19="","",IF(F19=0,"Sin ingredientes",IF(COUNTIFS(Ingredientes!$F$8:$F$47,B19,Ingredientes!$L$8:$L$47,"Sí")=F19,"Comprado",IF(COUNTIFS(Ingredientes!$F$8:$F$47,B19,Ingredientes!$L$8:$L$47,"Sí")&gt;0,"Parcial","Pendiente"))))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J3"/>
    <mergeCell ref="B2:J2"/>
  </mergeCells>
  <conditionalFormatting sqref="J8:J19">
    <cfRule type="cellIs" priority="1" operator="equal" dxfId="2">
      <formula>"Comprado"</formula>
    </cfRule>
    <cfRule type="cellIs" priority="2" operator="equal" dxfId="1">
      <formula>"Parcial"</formula>
    </cfRule>
    <cfRule type="cellIs" priority="3" operator="equal" dxfId="0">
      <formula>"Pendiente"</formula>
    </cfRule>
    <cfRule type="cellIs" priority="4" operator="equal" dxfId="3">
      <formula>"Sin ingredientes"</formula>
    </cfRule>
  </conditionalFormatting>
  <conditionalFormatting sqref="I8:I19">
    <cfRule type="dataBar" priority="5">
      <dataBar>
        <cfvo type="num" val="0"/>
        <cfvo type="max"/>
        <color rgb="0010B981"/>
      </dataBar>
    </cfRule>
  </conditionalFormatting>
  <dataValidations count="1">
    <dataValidation sqref="C8:C19" showDropDown="0" showInputMessage="0" showErrorMessage="0" allowBlank="1" type="list">
      <formula1>=Listas!$A$2:$A$8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N47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0" customWidth="1" min="2" max="2"/>
    <col width="28" customWidth="1" min="3" max="3"/>
    <col width="13" customWidth="1" min="4" max="4"/>
    <col width="9" customWidth="1" min="5" max="5"/>
    <col width="15" customWidth="1" min="6" max="6"/>
    <col width="12" customWidth="1" min="7" max="7"/>
    <col width="14" customWidth="1" min="8" max="8"/>
    <col width="10" customWidth="1" min="9" max="9"/>
    <col width="14" customWidth="1" min="10" max="10"/>
    <col width="15" customWidth="1" min="11" max="11"/>
    <col width="11" customWidth="1" min="12" max="12"/>
    <col width="14" customWidth="1" min="13" max="13"/>
    <col width="14" customWidth="1" min="14" max="14"/>
  </cols>
  <sheetData>
    <row r="2" ht="34" customHeight="1">
      <c r="B2" s="1" t="inlineStr">
        <is>
          <t>Ingredientes y lista de la compra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</row>
    <row r="3">
      <c r="B3" s="3" t="inlineStr">
        <is>
          <t>Una fila por ingrediente: cantidad por comensal, precio y tienda. La cantidad total a comprar se calcula sola.</t>
        </is>
      </c>
    </row>
    <row r="5">
      <c r="B5" s="29" t="inlineStr">
        <is>
          <t>TOTALES</t>
        </is>
      </c>
      <c r="J5" s="26">
        <f>SUM(J8:J47)</f>
        <v/>
      </c>
      <c r="M5" s="26">
        <f>SUM(M8:M47)</f>
        <v/>
      </c>
      <c r="N5" s="26">
        <f>SUM(N8:N47)</f>
        <v/>
      </c>
    </row>
    <row r="7" ht="42" customHeight="1">
      <c r="B7" s="19" t="inlineStr">
        <is>
          <t>Ingrediente</t>
        </is>
      </c>
      <c r="C7" s="19" t="inlineStr">
        <is>
          <t>Por comensal</t>
        </is>
      </c>
      <c r="D7" s="19" t="inlineStr">
        <is>
          <t>Unidad</t>
        </is>
      </c>
      <c r="E7" s="19" t="inlineStr">
        <is>
          <t>Precio (€ por kg, l o ud)</t>
        </is>
      </c>
      <c r="F7" s="19" t="inlineStr">
        <is>
          <t>Plato</t>
        </is>
      </c>
      <c r="G7" s="19" t="inlineStr">
        <is>
          <t>Comensales</t>
        </is>
      </c>
      <c r="H7" s="19" t="inlineStr">
        <is>
          <t>Cantidad a comprar</t>
        </is>
      </c>
      <c r="I7" s="19" t="inlineStr">
        <is>
          <t>Compra en</t>
        </is>
      </c>
      <c r="J7" s="19" t="inlineStr">
        <is>
          <t>Coste estimado</t>
        </is>
      </c>
      <c r="K7" s="19" t="inlineStr">
        <is>
          <t>Tienda</t>
        </is>
      </c>
      <c r="L7" s="19" t="inlineStr">
        <is>
          <t>Comprado</t>
        </is>
      </c>
      <c r="M7" s="19" t="inlineStr">
        <is>
          <t>Coste real (ticket)</t>
        </is>
      </c>
      <c r="N7" s="19" t="inlineStr">
        <is>
          <t>Coste vigente</t>
        </is>
      </c>
    </row>
    <row r="8">
      <c r="B8" s="30" t="inlineStr">
        <is>
          <t>Jamón serrano</t>
        </is>
      </c>
      <c r="C8" s="32" t="n">
        <v>40</v>
      </c>
      <c r="D8" s="33" t="inlineStr">
        <is>
          <t>g</t>
        </is>
      </c>
      <c r="E8" s="13" t="n">
        <v>38</v>
      </c>
      <c r="F8" s="30" t="inlineStr">
        <is>
          <t>Aperitivo de jamón y queso</t>
        </is>
      </c>
      <c r="G8" s="21">
        <f>IF(OR(F8="",B8=""),"",IFERROR(VLOOKUP(F8,Platos!$B$8:$E$19,4,FALSE),Resumen!$F$7))</f>
        <v/>
      </c>
      <c r="H8" s="34">
        <f>IF(G8="","",IF(D8="ud",-INT(-(C8*G8*(1+Resumen!$C$9))),ROUND(C8*G8*(1+Resumen!$C$9)/1000,3)))</f>
        <v/>
      </c>
      <c r="I8" s="31">
        <f>IF(G8="","",IF(D8="ud","ud",IF(D8="g","kg","l")))</f>
        <v/>
      </c>
      <c r="J8" s="22">
        <f>IF(G8="","",ROUND(N(H8)*N(E8),2))</f>
        <v/>
      </c>
      <c r="K8" s="30" t="inlineStr">
        <is>
          <t>Supermercado</t>
        </is>
      </c>
      <c r="L8" s="33" t="inlineStr">
        <is>
          <t>No</t>
        </is>
      </c>
      <c r="M8" s="13" t="n"/>
      <c r="N8" s="22">
        <f>IF(G8="","",IF(M8="",J8,M8))</f>
        <v/>
      </c>
    </row>
    <row r="9">
      <c r="B9" s="30" t="inlineStr">
        <is>
          <t>Queso curado</t>
        </is>
      </c>
      <c r="C9" s="32" t="n">
        <v>30</v>
      </c>
      <c r="D9" s="33" t="inlineStr">
        <is>
          <t>g</t>
        </is>
      </c>
      <c r="E9" s="13" t="n">
        <v>18</v>
      </c>
      <c r="F9" s="30" t="inlineStr">
        <is>
          <t>Aperitivo de jamón y queso</t>
        </is>
      </c>
      <c r="G9" s="21">
        <f>IF(OR(F9="",B9=""),"",IFERROR(VLOOKUP(F9,Platos!$B$8:$E$19,4,FALSE),Resumen!$F$7))</f>
        <v/>
      </c>
      <c r="H9" s="34">
        <f>IF(G9="","",IF(D9="ud",-INT(-(C9*G9*(1+Resumen!$C$9))),ROUND(C9*G9*(1+Resumen!$C$9)/1000,3)))</f>
        <v/>
      </c>
      <c r="I9" s="31">
        <f>IF(G9="","",IF(D9="ud","ud",IF(D9="g","kg","l")))</f>
        <v/>
      </c>
      <c r="J9" s="22">
        <f>IF(G9="","",ROUND(N(H9)*N(E9),2))</f>
        <v/>
      </c>
      <c r="K9" s="30" t="inlineStr">
        <is>
          <t>Supermercado</t>
        </is>
      </c>
      <c r="L9" s="33" t="inlineStr">
        <is>
          <t>No</t>
        </is>
      </c>
      <c r="M9" s="13" t="n"/>
      <c r="N9" s="22">
        <f>IF(G9="","",IF(M9="",J9,M9))</f>
        <v/>
      </c>
    </row>
    <row r="10">
      <c r="B10" s="30" t="inlineStr">
        <is>
          <t>Langostinos</t>
        </is>
      </c>
      <c r="C10" s="32" t="n">
        <v>120</v>
      </c>
      <c r="D10" s="33" t="inlineStr">
        <is>
          <t>g</t>
        </is>
      </c>
      <c r="E10" s="13" t="n">
        <v>18</v>
      </c>
      <c r="F10" s="30" t="inlineStr">
        <is>
          <t>Langostinos cocidos</t>
        </is>
      </c>
      <c r="G10" s="21">
        <f>IF(OR(F10="",B10=""),"",IFERROR(VLOOKUP(F10,Platos!$B$8:$E$19,4,FALSE),Resumen!$F$7))</f>
        <v/>
      </c>
      <c r="H10" s="34">
        <f>IF(G10="","",IF(D10="ud",-INT(-(C10*G10*(1+Resumen!$C$9))),ROUND(C10*G10*(1+Resumen!$C$9)/1000,3)))</f>
        <v/>
      </c>
      <c r="I10" s="31">
        <f>IF(G10="","",IF(D10="ud","ud",IF(D10="g","kg","l")))</f>
        <v/>
      </c>
      <c r="J10" s="22">
        <f>IF(G10="","",ROUND(N(H10)*N(E10),2))</f>
        <v/>
      </c>
      <c r="K10" s="30" t="inlineStr">
        <is>
          <t>Pescadería</t>
        </is>
      </c>
      <c r="L10" s="33" t="inlineStr">
        <is>
          <t>No</t>
        </is>
      </c>
      <c r="M10" s="13" t="n"/>
      <c r="N10" s="22">
        <f>IF(G10="","",IF(M10="",J10,M10))</f>
        <v/>
      </c>
    </row>
    <row r="11">
      <c r="B11" s="30" t="inlineStr">
        <is>
          <t>Calabaza</t>
        </is>
      </c>
      <c r="C11" s="32" t="n">
        <v>200</v>
      </c>
      <c r="D11" s="33" t="inlineStr">
        <is>
          <t>g</t>
        </is>
      </c>
      <c r="E11" s="13" t="n">
        <v>1.8</v>
      </c>
      <c r="F11" s="30" t="inlineStr">
        <is>
          <t>Crema de calabaza</t>
        </is>
      </c>
      <c r="G11" s="21">
        <f>IF(OR(F11="",B11=""),"",IFERROR(VLOOKUP(F11,Platos!$B$8:$E$19,4,FALSE),Resumen!$F$7))</f>
        <v/>
      </c>
      <c r="H11" s="34">
        <f>IF(G11="","",IF(D11="ud",-INT(-(C11*G11*(1+Resumen!$C$9))),ROUND(C11*G11*(1+Resumen!$C$9)/1000,3)))</f>
        <v/>
      </c>
      <c r="I11" s="31">
        <f>IF(G11="","",IF(D11="ud","ud",IF(D11="g","kg","l")))</f>
        <v/>
      </c>
      <c r="J11" s="22">
        <f>IF(G11="","",ROUND(N(H11)*N(E11),2))</f>
        <v/>
      </c>
      <c r="K11" s="30" t="inlineStr">
        <is>
          <t>Frutería</t>
        </is>
      </c>
      <c r="L11" s="33" t="inlineStr">
        <is>
          <t>No</t>
        </is>
      </c>
      <c r="M11" s="13" t="n"/>
      <c r="N11" s="22">
        <f>IF(G11="","",IF(M11="",J11,M11))</f>
        <v/>
      </c>
    </row>
    <row r="12">
      <c r="B12" s="30" t="inlineStr">
        <is>
          <t>Nata para cocinar</t>
        </is>
      </c>
      <c r="C12" s="32" t="n">
        <v>40</v>
      </c>
      <c r="D12" s="33" t="inlineStr">
        <is>
          <t>ml</t>
        </is>
      </c>
      <c r="E12" s="13" t="n">
        <v>2.2</v>
      </c>
      <c r="F12" s="30" t="inlineStr">
        <is>
          <t>Crema de calabaza</t>
        </is>
      </c>
      <c r="G12" s="21">
        <f>IF(OR(F12="",B12=""),"",IFERROR(VLOOKUP(F12,Platos!$B$8:$E$19,4,FALSE),Resumen!$F$7))</f>
        <v/>
      </c>
      <c r="H12" s="34">
        <f>IF(G12="","",IF(D12="ud",-INT(-(C12*G12*(1+Resumen!$C$9))),ROUND(C12*G12*(1+Resumen!$C$9)/1000,3)))</f>
        <v/>
      </c>
      <c r="I12" s="31">
        <f>IF(G12="","",IF(D12="ud","ud",IF(D12="g","kg","l")))</f>
        <v/>
      </c>
      <c r="J12" s="22">
        <f>IF(G12="","",ROUND(N(H12)*N(E12),2))</f>
        <v/>
      </c>
      <c r="K12" s="30" t="inlineStr">
        <is>
          <t>Supermercado</t>
        </is>
      </c>
      <c r="L12" s="33" t="inlineStr">
        <is>
          <t>No</t>
        </is>
      </c>
      <c r="M12" s="13" t="n"/>
      <c r="N12" s="22">
        <f>IF(G12="","",IF(M12="",J12,M12))</f>
        <v/>
      </c>
    </row>
    <row r="13">
      <c r="B13" s="30" t="inlineStr">
        <is>
          <t>Caldo de verduras</t>
        </is>
      </c>
      <c r="C13" s="32" t="n">
        <v>250</v>
      </c>
      <c r="D13" s="33" t="inlineStr">
        <is>
          <t>ml</t>
        </is>
      </c>
      <c r="E13" s="13" t="n">
        <v>1.2</v>
      </c>
      <c r="F13" s="30" t="inlineStr">
        <is>
          <t>Crema de calabaza</t>
        </is>
      </c>
      <c r="G13" s="21">
        <f>IF(OR(F13="",B13=""),"",IFERROR(VLOOKUP(F13,Platos!$B$8:$E$19,4,FALSE),Resumen!$F$7))</f>
        <v/>
      </c>
      <c r="H13" s="34">
        <f>IF(G13="","",IF(D13="ud",-INT(-(C13*G13*(1+Resumen!$C$9))),ROUND(C13*G13*(1+Resumen!$C$9)/1000,3)))</f>
        <v/>
      </c>
      <c r="I13" s="31">
        <f>IF(G13="","",IF(D13="ud","ud",IF(D13="g","kg","l")))</f>
        <v/>
      </c>
      <c r="J13" s="22">
        <f>IF(G13="","",ROUND(N(H13)*N(E13),2))</f>
        <v/>
      </c>
      <c r="K13" s="30" t="inlineStr">
        <is>
          <t>Supermercado</t>
        </is>
      </c>
      <c r="L13" s="33" t="inlineStr">
        <is>
          <t>No</t>
        </is>
      </c>
      <c r="M13" s="13" t="n"/>
      <c r="N13" s="22">
        <f>IF(G13="","",IF(M13="",J13,M13))</f>
        <v/>
      </c>
    </row>
    <row r="14">
      <c r="B14" s="30" t="inlineStr">
        <is>
          <t>Pierna de cordero</t>
        </is>
      </c>
      <c r="C14" s="32" t="n">
        <v>300</v>
      </c>
      <c r="D14" s="33" t="inlineStr">
        <is>
          <t>g</t>
        </is>
      </c>
      <c r="E14" s="13" t="n">
        <v>16</v>
      </c>
      <c r="F14" s="30" t="inlineStr">
        <is>
          <t>Cordero asado con patatas</t>
        </is>
      </c>
      <c r="G14" s="21">
        <f>IF(OR(F14="",B14=""),"",IFERROR(VLOOKUP(F14,Platos!$B$8:$E$19,4,FALSE),Resumen!$F$7))</f>
        <v/>
      </c>
      <c r="H14" s="34">
        <f>IF(G14="","",IF(D14="ud",-INT(-(C14*G14*(1+Resumen!$C$9))),ROUND(C14*G14*(1+Resumen!$C$9)/1000,3)))</f>
        <v/>
      </c>
      <c r="I14" s="31">
        <f>IF(G14="","",IF(D14="ud","ud",IF(D14="g","kg","l")))</f>
        <v/>
      </c>
      <c r="J14" s="22">
        <f>IF(G14="","",ROUND(N(H14)*N(E14),2))</f>
        <v/>
      </c>
      <c r="K14" s="30" t="inlineStr">
        <is>
          <t>Carnicería</t>
        </is>
      </c>
      <c r="L14" s="33" t="inlineStr">
        <is>
          <t>No</t>
        </is>
      </c>
      <c r="M14" s="13" t="n"/>
      <c r="N14" s="22">
        <f>IF(G14="","",IF(M14="",J14,M14))</f>
        <v/>
      </c>
    </row>
    <row r="15">
      <c r="B15" s="30" t="inlineStr">
        <is>
          <t>Patatas</t>
        </is>
      </c>
      <c r="C15" s="32" t="n">
        <v>200</v>
      </c>
      <c r="D15" s="33" t="inlineStr">
        <is>
          <t>g</t>
        </is>
      </c>
      <c r="E15" s="13" t="n">
        <v>1.5</v>
      </c>
      <c r="F15" s="30" t="inlineStr">
        <is>
          <t>Cordero asado con patatas</t>
        </is>
      </c>
      <c r="G15" s="21">
        <f>IF(OR(F15="",B15=""),"",IFERROR(VLOOKUP(F15,Platos!$B$8:$E$19,4,FALSE),Resumen!$F$7))</f>
        <v/>
      </c>
      <c r="H15" s="34">
        <f>IF(G15="","",IF(D15="ud",-INT(-(C15*G15*(1+Resumen!$C$9))),ROUND(C15*G15*(1+Resumen!$C$9)/1000,3)))</f>
        <v/>
      </c>
      <c r="I15" s="31">
        <f>IF(G15="","",IF(D15="ud","ud",IF(D15="g","kg","l")))</f>
        <v/>
      </c>
      <c r="J15" s="22">
        <f>IF(G15="","",ROUND(N(H15)*N(E15),2))</f>
        <v/>
      </c>
      <c r="K15" s="30" t="inlineStr">
        <is>
          <t>Frutería</t>
        </is>
      </c>
      <c r="L15" s="33" t="inlineStr">
        <is>
          <t>No</t>
        </is>
      </c>
      <c r="M15" s="13" t="n"/>
      <c r="N15" s="22">
        <f>IF(G15="","",IF(M15="",J15,M15))</f>
        <v/>
      </c>
    </row>
    <row r="16">
      <c r="B16" s="30" t="inlineStr">
        <is>
          <t>Vino blanco (asado)</t>
        </is>
      </c>
      <c r="C16" s="32" t="n">
        <v>50</v>
      </c>
      <c r="D16" s="33" t="inlineStr">
        <is>
          <t>ml</t>
        </is>
      </c>
      <c r="E16" s="13" t="n">
        <v>4</v>
      </c>
      <c r="F16" s="30" t="inlineStr">
        <is>
          <t>Cordero asado con patatas</t>
        </is>
      </c>
      <c r="G16" s="21">
        <f>IF(OR(F16="",B16=""),"",IFERROR(VLOOKUP(F16,Platos!$B$8:$E$19,4,FALSE),Resumen!$F$7))</f>
        <v/>
      </c>
      <c r="H16" s="34">
        <f>IF(G16="","",IF(D16="ud",-INT(-(C16*G16*(1+Resumen!$C$9))),ROUND(C16*G16*(1+Resumen!$C$9)/1000,3)))</f>
        <v/>
      </c>
      <c r="I16" s="31">
        <f>IF(G16="","",IF(D16="ud","ud",IF(D16="g","kg","l")))</f>
        <v/>
      </c>
      <c r="J16" s="22">
        <f>IF(G16="","",ROUND(N(H16)*N(E16),2))</f>
        <v/>
      </c>
      <c r="K16" s="30" t="inlineStr">
        <is>
          <t>Supermercado</t>
        </is>
      </c>
      <c r="L16" s="33" t="inlineStr">
        <is>
          <t>No</t>
        </is>
      </c>
      <c r="M16" s="13" t="n"/>
      <c r="N16" s="22">
        <f>IF(G16="","",IF(M16="",J16,M16))</f>
        <v/>
      </c>
    </row>
    <row r="17">
      <c r="B17" s="30" t="inlineStr">
        <is>
          <t>Turrón blando</t>
        </is>
      </c>
      <c r="C17" s="32" t="n">
        <v>40</v>
      </c>
      <c r="D17" s="33" t="inlineStr">
        <is>
          <t>g</t>
        </is>
      </c>
      <c r="E17" s="13" t="n">
        <v>14</v>
      </c>
      <c r="F17" s="30" t="inlineStr">
        <is>
          <t>Tarta de turrón</t>
        </is>
      </c>
      <c r="G17" s="21">
        <f>IF(OR(F17="",B17=""),"",IFERROR(VLOOKUP(F17,Platos!$B$8:$E$19,4,FALSE),Resumen!$F$7))</f>
        <v/>
      </c>
      <c r="H17" s="34">
        <f>IF(G17="","",IF(D17="ud",-INT(-(C17*G17*(1+Resumen!$C$9))),ROUND(C17*G17*(1+Resumen!$C$9)/1000,3)))</f>
        <v/>
      </c>
      <c r="I17" s="31">
        <f>IF(G17="","",IF(D17="ud","ud",IF(D17="g","kg","l")))</f>
        <v/>
      </c>
      <c r="J17" s="22">
        <f>IF(G17="","",ROUND(N(H17)*N(E17),2))</f>
        <v/>
      </c>
      <c r="K17" s="30" t="inlineStr">
        <is>
          <t>Supermercado</t>
        </is>
      </c>
      <c r="L17" s="33" t="inlineStr">
        <is>
          <t>Sí</t>
        </is>
      </c>
      <c r="M17" s="13" t="n">
        <v>6.3</v>
      </c>
      <c r="N17" s="22">
        <f>IF(G17="","",IF(M17="",J17,M17))</f>
        <v/>
      </c>
    </row>
    <row r="18">
      <c r="B18" s="30" t="inlineStr">
        <is>
          <t>Nata para montar</t>
        </is>
      </c>
      <c r="C18" s="32" t="n">
        <v>50</v>
      </c>
      <c r="D18" s="33" t="inlineStr">
        <is>
          <t>ml</t>
        </is>
      </c>
      <c r="E18" s="13" t="n">
        <v>3.5</v>
      </c>
      <c r="F18" s="30" t="inlineStr">
        <is>
          <t>Tarta de turrón</t>
        </is>
      </c>
      <c r="G18" s="21">
        <f>IF(OR(F18="",B18=""),"",IFERROR(VLOOKUP(F18,Platos!$B$8:$E$19,4,FALSE),Resumen!$F$7))</f>
        <v/>
      </c>
      <c r="H18" s="34">
        <f>IF(G18="","",IF(D18="ud",-INT(-(C18*G18*(1+Resumen!$C$9))),ROUND(C18*G18*(1+Resumen!$C$9)/1000,3)))</f>
        <v/>
      </c>
      <c r="I18" s="31">
        <f>IF(G18="","",IF(D18="ud","ud",IF(D18="g","kg","l")))</f>
        <v/>
      </c>
      <c r="J18" s="22">
        <f>IF(G18="","",ROUND(N(H18)*N(E18),2))</f>
        <v/>
      </c>
      <c r="K18" s="30" t="inlineStr">
        <is>
          <t>Supermercado</t>
        </is>
      </c>
      <c r="L18" s="33" t="inlineStr">
        <is>
          <t>No</t>
        </is>
      </c>
      <c r="M18" s="13" t="n"/>
      <c r="N18" s="22">
        <f>IF(G18="","",IF(M18="",J18,M18))</f>
        <v/>
      </c>
    </row>
    <row r="19">
      <c r="B19" s="30" t="inlineStr">
        <is>
          <t>Galletas (base)</t>
        </is>
      </c>
      <c r="C19" s="32" t="n">
        <v>15</v>
      </c>
      <c r="D19" s="33" t="inlineStr">
        <is>
          <t>g</t>
        </is>
      </c>
      <c r="E19" s="13" t="n">
        <v>3</v>
      </c>
      <c r="F19" s="30" t="inlineStr">
        <is>
          <t>Tarta de turrón</t>
        </is>
      </c>
      <c r="G19" s="21">
        <f>IF(OR(F19="",B19=""),"",IFERROR(VLOOKUP(F19,Platos!$B$8:$E$19,4,FALSE),Resumen!$F$7))</f>
        <v/>
      </c>
      <c r="H19" s="34">
        <f>IF(G19="","",IF(D19="ud",-INT(-(C19*G19*(1+Resumen!$C$9))),ROUND(C19*G19*(1+Resumen!$C$9)/1000,3)))</f>
        <v/>
      </c>
      <c r="I19" s="31">
        <f>IF(G19="","",IF(D19="ud","ud",IF(D19="g","kg","l")))</f>
        <v/>
      </c>
      <c r="J19" s="22">
        <f>IF(G19="","",ROUND(N(H19)*N(E19),2))</f>
        <v/>
      </c>
      <c r="K19" s="30" t="inlineStr">
        <is>
          <t>Supermercado</t>
        </is>
      </c>
      <c r="L19" s="33" t="inlineStr">
        <is>
          <t>No</t>
        </is>
      </c>
      <c r="M19" s="13" t="n"/>
      <c r="N19" s="22">
        <f>IF(G19="","",IF(M19="",J19,M19))</f>
        <v/>
      </c>
    </row>
    <row r="20">
      <c r="B20" s="30" t="inlineStr">
        <is>
          <t>Cava (botella 75 cl)</t>
        </is>
      </c>
      <c r="C20" s="32" t="n">
        <v>0.2</v>
      </c>
      <c r="D20" s="33" t="inlineStr">
        <is>
          <t>ud</t>
        </is>
      </c>
      <c r="E20" s="13" t="n">
        <v>6.5</v>
      </c>
      <c r="F20" s="30" t="inlineStr">
        <is>
          <t>Bebidas</t>
        </is>
      </c>
      <c r="G20" s="21">
        <f>IF(OR(F20="",B20=""),"",IFERROR(VLOOKUP(F20,Platos!$B$8:$E$19,4,FALSE),Resumen!$F$7))</f>
        <v/>
      </c>
      <c r="H20" s="34">
        <f>IF(G20="","",IF(D20="ud",-INT(-(C20*G20*(1+Resumen!$C$9))),ROUND(C20*G20*(1+Resumen!$C$9)/1000,3)))</f>
        <v/>
      </c>
      <c r="I20" s="31">
        <f>IF(G20="","",IF(D20="ud","ud",IF(D20="g","kg","l")))</f>
        <v/>
      </c>
      <c r="J20" s="22">
        <f>IF(G20="","",ROUND(N(H20)*N(E20),2))</f>
        <v/>
      </c>
      <c r="K20" s="30" t="inlineStr">
        <is>
          <t>Bodega</t>
        </is>
      </c>
      <c r="L20" s="33" t="inlineStr">
        <is>
          <t>Sí</t>
        </is>
      </c>
      <c r="M20" s="13" t="n">
        <v>19.2</v>
      </c>
      <c r="N20" s="22">
        <f>IF(G20="","",IF(M20="",J20,M20))</f>
        <v/>
      </c>
    </row>
    <row r="21">
      <c r="B21" s="30" t="inlineStr">
        <is>
          <t>Vino tinto (75 cl)</t>
        </is>
      </c>
      <c r="C21" s="32" t="n">
        <v>0.25</v>
      </c>
      <c r="D21" s="33" t="inlineStr">
        <is>
          <t>ud</t>
        </is>
      </c>
      <c r="E21" s="13" t="n">
        <v>7</v>
      </c>
      <c r="F21" s="30" t="inlineStr">
        <is>
          <t>Bebidas</t>
        </is>
      </c>
      <c r="G21" s="21">
        <f>IF(OR(F21="",B21=""),"",IFERROR(VLOOKUP(F21,Platos!$B$8:$E$19,4,FALSE),Resumen!$F$7))</f>
        <v/>
      </c>
      <c r="H21" s="34">
        <f>IF(G21="","",IF(D21="ud",-INT(-(C21*G21*(1+Resumen!$C$9))),ROUND(C21*G21*(1+Resumen!$C$9)/1000,3)))</f>
        <v/>
      </c>
      <c r="I21" s="31">
        <f>IF(G21="","",IF(D21="ud","ud",IF(D21="g","kg","l")))</f>
        <v/>
      </c>
      <c r="J21" s="22">
        <f>IF(G21="","",ROUND(N(H21)*N(E21),2))</f>
        <v/>
      </c>
      <c r="K21" s="30" t="inlineStr">
        <is>
          <t>Bodega</t>
        </is>
      </c>
      <c r="L21" s="33" t="inlineStr">
        <is>
          <t>Sí</t>
        </is>
      </c>
      <c r="M21" s="13" t="n">
        <v>20.85</v>
      </c>
      <c r="N21" s="22">
        <f>IF(G21="","",IF(M21="",J21,M21))</f>
        <v/>
      </c>
    </row>
    <row r="22">
      <c r="B22" s="30" t="inlineStr">
        <is>
          <t>Agua y refrescos</t>
        </is>
      </c>
      <c r="C22" s="32" t="n">
        <v>500</v>
      </c>
      <c r="D22" s="33" t="inlineStr">
        <is>
          <t>ml</t>
        </is>
      </c>
      <c r="E22" s="13" t="n">
        <v>1.1</v>
      </c>
      <c r="F22" s="30" t="inlineStr">
        <is>
          <t>Bebidas</t>
        </is>
      </c>
      <c r="G22" s="21">
        <f>IF(OR(F22="",B22=""),"",IFERROR(VLOOKUP(F22,Platos!$B$8:$E$19,4,FALSE),Resumen!$F$7))</f>
        <v/>
      </c>
      <c r="H22" s="34">
        <f>IF(G22="","",IF(D22="ud",-INT(-(C22*G22*(1+Resumen!$C$9))),ROUND(C22*G22*(1+Resumen!$C$9)/1000,3)))</f>
        <v/>
      </c>
      <c r="I22" s="31">
        <f>IF(G22="","",IF(D22="ud","ud",IF(D22="g","kg","l")))</f>
        <v/>
      </c>
      <c r="J22" s="22">
        <f>IF(G22="","",ROUND(N(H22)*N(E22),2))</f>
        <v/>
      </c>
      <c r="K22" s="30" t="inlineStr">
        <is>
          <t>Supermercado</t>
        </is>
      </c>
      <c r="L22" s="33" t="inlineStr">
        <is>
          <t>Sí</t>
        </is>
      </c>
      <c r="M22" s="13" t="n">
        <v>6.4</v>
      </c>
      <c r="N22" s="22">
        <f>IF(G22="","",IF(M22="",J22,M22))</f>
        <v/>
      </c>
    </row>
    <row r="23">
      <c r="B23" s="30" t="n"/>
      <c r="C23" s="32" t="n"/>
      <c r="D23" s="33" t="n"/>
      <c r="E23" s="13" t="n"/>
      <c r="F23" s="30" t="n"/>
      <c r="G23" s="21">
        <f>IF(OR(F23="",B23=""),"",IFERROR(VLOOKUP(F23,Platos!$B$8:$E$19,4,FALSE),Resumen!$F$7))</f>
        <v/>
      </c>
      <c r="H23" s="34">
        <f>IF(G23="","",IF(D23="ud",-INT(-(C23*G23*(1+Resumen!$C$9))),ROUND(C23*G23*(1+Resumen!$C$9)/1000,3)))</f>
        <v/>
      </c>
      <c r="I23" s="31">
        <f>IF(G23="","",IF(D23="ud","ud",IF(D23="g","kg","l")))</f>
        <v/>
      </c>
      <c r="J23" s="22">
        <f>IF(G23="","",ROUND(N(H23)*N(E23),2))</f>
        <v/>
      </c>
      <c r="K23" s="30" t="n"/>
      <c r="L23" s="33" t="n"/>
      <c r="M23" s="13" t="n"/>
      <c r="N23" s="22">
        <f>IF(G23="","",IF(M23="",J23,M23))</f>
        <v/>
      </c>
    </row>
    <row r="24">
      <c r="B24" s="30" t="n"/>
      <c r="C24" s="32" t="n"/>
      <c r="D24" s="33" t="n"/>
      <c r="E24" s="13" t="n"/>
      <c r="F24" s="30" t="n"/>
      <c r="G24" s="21">
        <f>IF(OR(F24="",B24=""),"",IFERROR(VLOOKUP(F24,Platos!$B$8:$E$19,4,FALSE),Resumen!$F$7))</f>
        <v/>
      </c>
      <c r="H24" s="34">
        <f>IF(G24="","",IF(D24="ud",-INT(-(C24*G24*(1+Resumen!$C$9))),ROUND(C24*G24*(1+Resumen!$C$9)/1000,3)))</f>
        <v/>
      </c>
      <c r="I24" s="31">
        <f>IF(G24="","",IF(D24="ud","ud",IF(D24="g","kg","l")))</f>
        <v/>
      </c>
      <c r="J24" s="22">
        <f>IF(G24="","",ROUND(N(H24)*N(E24),2))</f>
        <v/>
      </c>
      <c r="K24" s="30" t="n"/>
      <c r="L24" s="33" t="n"/>
      <c r="M24" s="13" t="n"/>
      <c r="N24" s="22">
        <f>IF(G24="","",IF(M24="",J24,M24))</f>
        <v/>
      </c>
    </row>
    <row r="25">
      <c r="B25" s="30" t="n"/>
      <c r="C25" s="32" t="n"/>
      <c r="D25" s="33" t="n"/>
      <c r="E25" s="13" t="n"/>
      <c r="F25" s="30" t="n"/>
      <c r="G25" s="21">
        <f>IF(OR(F25="",B25=""),"",IFERROR(VLOOKUP(F25,Platos!$B$8:$E$19,4,FALSE),Resumen!$F$7))</f>
        <v/>
      </c>
      <c r="H25" s="34">
        <f>IF(G25="","",IF(D25="ud",-INT(-(C25*G25*(1+Resumen!$C$9))),ROUND(C25*G25*(1+Resumen!$C$9)/1000,3)))</f>
        <v/>
      </c>
      <c r="I25" s="31">
        <f>IF(G25="","",IF(D25="ud","ud",IF(D25="g","kg","l")))</f>
        <v/>
      </c>
      <c r="J25" s="22">
        <f>IF(G25="","",ROUND(N(H25)*N(E25),2))</f>
        <v/>
      </c>
      <c r="K25" s="30" t="n"/>
      <c r="L25" s="33" t="n"/>
      <c r="M25" s="13" t="n"/>
      <c r="N25" s="22">
        <f>IF(G25="","",IF(M25="",J25,M25))</f>
        <v/>
      </c>
    </row>
    <row r="26">
      <c r="B26" s="30" t="n"/>
      <c r="C26" s="32" t="n"/>
      <c r="D26" s="33" t="n"/>
      <c r="E26" s="13" t="n"/>
      <c r="F26" s="30" t="n"/>
      <c r="G26" s="21">
        <f>IF(OR(F26="",B26=""),"",IFERROR(VLOOKUP(F26,Platos!$B$8:$E$19,4,FALSE),Resumen!$F$7))</f>
        <v/>
      </c>
      <c r="H26" s="34">
        <f>IF(G26="","",IF(D26="ud",-INT(-(C26*G26*(1+Resumen!$C$9))),ROUND(C26*G26*(1+Resumen!$C$9)/1000,3)))</f>
        <v/>
      </c>
      <c r="I26" s="31">
        <f>IF(G26="","",IF(D26="ud","ud",IF(D26="g","kg","l")))</f>
        <v/>
      </c>
      <c r="J26" s="22">
        <f>IF(G26="","",ROUND(N(H26)*N(E26),2))</f>
        <v/>
      </c>
      <c r="K26" s="30" t="n"/>
      <c r="L26" s="33" t="n"/>
      <c r="M26" s="13" t="n"/>
      <c r="N26" s="22">
        <f>IF(G26="","",IF(M26="",J26,M26))</f>
        <v/>
      </c>
    </row>
    <row r="27">
      <c r="B27" s="30" t="n"/>
      <c r="C27" s="32" t="n"/>
      <c r="D27" s="33" t="n"/>
      <c r="E27" s="13" t="n"/>
      <c r="F27" s="30" t="n"/>
      <c r="G27" s="21">
        <f>IF(OR(F27="",B27=""),"",IFERROR(VLOOKUP(F27,Platos!$B$8:$E$19,4,FALSE),Resumen!$F$7))</f>
        <v/>
      </c>
      <c r="H27" s="34">
        <f>IF(G27="","",IF(D27="ud",-INT(-(C27*G27*(1+Resumen!$C$9))),ROUND(C27*G27*(1+Resumen!$C$9)/1000,3)))</f>
        <v/>
      </c>
      <c r="I27" s="31">
        <f>IF(G27="","",IF(D27="ud","ud",IF(D27="g","kg","l")))</f>
        <v/>
      </c>
      <c r="J27" s="22">
        <f>IF(G27="","",ROUND(N(H27)*N(E27),2))</f>
        <v/>
      </c>
      <c r="K27" s="30" t="n"/>
      <c r="L27" s="33" t="n"/>
      <c r="M27" s="13" t="n"/>
      <c r="N27" s="22">
        <f>IF(G27="","",IF(M27="",J27,M27))</f>
        <v/>
      </c>
    </row>
    <row r="28">
      <c r="B28" s="30" t="n"/>
      <c r="C28" s="32" t="n"/>
      <c r="D28" s="33" t="n"/>
      <c r="E28" s="13" t="n"/>
      <c r="F28" s="30" t="n"/>
      <c r="G28" s="21">
        <f>IF(OR(F28="",B28=""),"",IFERROR(VLOOKUP(F28,Platos!$B$8:$E$19,4,FALSE),Resumen!$F$7))</f>
        <v/>
      </c>
      <c r="H28" s="34">
        <f>IF(G28="","",IF(D28="ud",-INT(-(C28*G28*(1+Resumen!$C$9))),ROUND(C28*G28*(1+Resumen!$C$9)/1000,3)))</f>
        <v/>
      </c>
      <c r="I28" s="31">
        <f>IF(G28="","",IF(D28="ud","ud",IF(D28="g","kg","l")))</f>
        <v/>
      </c>
      <c r="J28" s="22">
        <f>IF(G28="","",ROUND(N(H28)*N(E28),2))</f>
        <v/>
      </c>
      <c r="K28" s="30" t="n"/>
      <c r="L28" s="33" t="n"/>
      <c r="M28" s="13" t="n"/>
      <c r="N28" s="22">
        <f>IF(G28="","",IF(M28="",J28,M28))</f>
        <v/>
      </c>
    </row>
    <row r="29">
      <c r="B29" s="30" t="n"/>
      <c r="C29" s="32" t="n"/>
      <c r="D29" s="33" t="n"/>
      <c r="E29" s="13" t="n"/>
      <c r="F29" s="30" t="n"/>
      <c r="G29" s="21">
        <f>IF(OR(F29="",B29=""),"",IFERROR(VLOOKUP(F29,Platos!$B$8:$E$19,4,FALSE),Resumen!$F$7))</f>
        <v/>
      </c>
      <c r="H29" s="34">
        <f>IF(G29="","",IF(D29="ud",-INT(-(C29*G29*(1+Resumen!$C$9))),ROUND(C29*G29*(1+Resumen!$C$9)/1000,3)))</f>
        <v/>
      </c>
      <c r="I29" s="31">
        <f>IF(G29="","",IF(D29="ud","ud",IF(D29="g","kg","l")))</f>
        <v/>
      </c>
      <c r="J29" s="22">
        <f>IF(G29="","",ROUND(N(H29)*N(E29),2))</f>
        <v/>
      </c>
      <c r="K29" s="30" t="n"/>
      <c r="L29" s="33" t="n"/>
      <c r="M29" s="13" t="n"/>
      <c r="N29" s="22">
        <f>IF(G29="","",IF(M29="",J29,M29))</f>
        <v/>
      </c>
    </row>
    <row r="30">
      <c r="B30" s="30" t="n"/>
      <c r="C30" s="32" t="n"/>
      <c r="D30" s="33" t="n"/>
      <c r="E30" s="13" t="n"/>
      <c r="F30" s="30" t="n"/>
      <c r="G30" s="21">
        <f>IF(OR(F30="",B30=""),"",IFERROR(VLOOKUP(F30,Platos!$B$8:$E$19,4,FALSE),Resumen!$F$7))</f>
        <v/>
      </c>
      <c r="H30" s="34">
        <f>IF(G30="","",IF(D30="ud",-INT(-(C30*G30*(1+Resumen!$C$9))),ROUND(C30*G30*(1+Resumen!$C$9)/1000,3)))</f>
        <v/>
      </c>
      <c r="I30" s="31">
        <f>IF(G30="","",IF(D30="ud","ud",IF(D30="g","kg","l")))</f>
        <v/>
      </c>
      <c r="J30" s="22">
        <f>IF(G30="","",ROUND(N(H30)*N(E30),2))</f>
        <v/>
      </c>
      <c r="K30" s="30" t="n"/>
      <c r="L30" s="33" t="n"/>
      <c r="M30" s="13" t="n"/>
      <c r="N30" s="22">
        <f>IF(G30="","",IF(M30="",J30,M30))</f>
        <v/>
      </c>
    </row>
    <row r="31">
      <c r="B31" s="30" t="n"/>
      <c r="C31" s="32" t="n"/>
      <c r="D31" s="33" t="n"/>
      <c r="E31" s="13" t="n"/>
      <c r="F31" s="30" t="n"/>
      <c r="G31" s="21">
        <f>IF(OR(F31="",B31=""),"",IFERROR(VLOOKUP(F31,Platos!$B$8:$E$19,4,FALSE),Resumen!$F$7))</f>
        <v/>
      </c>
      <c r="H31" s="34">
        <f>IF(G31="","",IF(D31="ud",-INT(-(C31*G31*(1+Resumen!$C$9))),ROUND(C31*G31*(1+Resumen!$C$9)/1000,3)))</f>
        <v/>
      </c>
      <c r="I31" s="31">
        <f>IF(G31="","",IF(D31="ud","ud",IF(D31="g","kg","l")))</f>
        <v/>
      </c>
      <c r="J31" s="22">
        <f>IF(G31="","",ROUND(N(H31)*N(E31),2))</f>
        <v/>
      </c>
      <c r="K31" s="30" t="n"/>
      <c r="L31" s="33" t="n"/>
      <c r="M31" s="13" t="n"/>
      <c r="N31" s="22">
        <f>IF(G31="","",IF(M31="",J31,M31))</f>
        <v/>
      </c>
    </row>
    <row r="32">
      <c r="B32" s="30" t="n"/>
      <c r="C32" s="32" t="n"/>
      <c r="D32" s="33" t="n"/>
      <c r="E32" s="13" t="n"/>
      <c r="F32" s="30" t="n"/>
      <c r="G32" s="21">
        <f>IF(OR(F32="",B32=""),"",IFERROR(VLOOKUP(F32,Platos!$B$8:$E$19,4,FALSE),Resumen!$F$7))</f>
        <v/>
      </c>
      <c r="H32" s="34">
        <f>IF(G32="","",IF(D32="ud",-INT(-(C32*G32*(1+Resumen!$C$9))),ROUND(C32*G32*(1+Resumen!$C$9)/1000,3)))</f>
        <v/>
      </c>
      <c r="I32" s="31">
        <f>IF(G32="","",IF(D32="ud","ud",IF(D32="g","kg","l")))</f>
        <v/>
      </c>
      <c r="J32" s="22">
        <f>IF(G32="","",ROUND(N(H32)*N(E32),2))</f>
        <v/>
      </c>
      <c r="K32" s="30" t="n"/>
      <c r="L32" s="33" t="n"/>
      <c r="M32" s="13" t="n"/>
      <c r="N32" s="22">
        <f>IF(G32="","",IF(M32="",J32,M32))</f>
        <v/>
      </c>
    </row>
    <row r="33">
      <c r="B33" s="30" t="n"/>
      <c r="C33" s="32" t="n"/>
      <c r="D33" s="33" t="n"/>
      <c r="E33" s="13" t="n"/>
      <c r="F33" s="30" t="n"/>
      <c r="G33" s="21">
        <f>IF(OR(F33="",B33=""),"",IFERROR(VLOOKUP(F33,Platos!$B$8:$E$19,4,FALSE),Resumen!$F$7))</f>
        <v/>
      </c>
      <c r="H33" s="34">
        <f>IF(G33="","",IF(D33="ud",-INT(-(C33*G33*(1+Resumen!$C$9))),ROUND(C33*G33*(1+Resumen!$C$9)/1000,3)))</f>
        <v/>
      </c>
      <c r="I33" s="31">
        <f>IF(G33="","",IF(D33="ud","ud",IF(D33="g","kg","l")))</f>
        <v/>
      </c>
      <c r="J33" s="22">
        <f>IF(G33="","",ROUND(N(H33)*N(E33),2))</f>
        <v/>
      </c>
      <c r="K33" s="30" t="n"/>
      <c r="L33" s="33" t="n"/>
      <c r="M33" s="13" t="n"/>
      <c r="N33" s="22">
        <f>IF(G33="","",IF(M33="",J33,M33))</f>
        <v/>
      </c>
    </row>
    <row r="34">
      <c r="B34" s="30" t="n"/>
      <c r="C34" s="32" t="n"/>
      <c r="D34" s="33" t="n"/>
      <c r="E34" s="13" t="n"/>
      <c r="F34" s="30" t="n"/>
      <c r="G34" s="21">
        <f>IF(OR(F34="",B34=""),"",IFERROR(VLOOKUP(F34,Platos!$B$8:$E$19,4,FALSE),Resumen!$F$7))</f>
        <v/>
      </c>
      <c r="H34" s="34">
        <f>IF(G34="","",IF(D34="ud",-INT(-(C34*G34*(1+Resumen!$C$9))),ROUND(C34*G34*(1+Resumen!$C$9)/1000,3)))</f>
        <v/>
      </c>
      <c r="I34" s="31">
        <f>IF(G34="","",IF(D34="ud","ud",IF(D34="g","kg","l")))</f>
        <v/>
      </c>
      <c r="J34" s="22">
        <f>IF(G34="","",ROUND(N(H34)*N(E34),2))</f>
        <v/>
      </c>
      <c r="K34" s="30" t="n"/>
      <c r="L34" s="33" t="n"/>
      <c r="M34" s="13" t="n"/>
      <c r="N34" s="22">
        <f>IF(G34="","",IF(M34="",J34,M34))</f>
        <v/>
      </c>
    </row>
    <row r="35">
      <c r="B35" s="30" t="n"/>
      <c r="C35" s="32" t="n"/>
      <c r="D35" s="33" t="n"/>
      <c r="E35" s="13" t="n"/>
      <c r="F35" s="30" t="n"/>
      <c r="G35" s="21">
        <f>IF(OR(F35="",B35=""),"",IFERROR(VLOOKUP(F35,Platos!$B$8:$E$19,4,FALSE),Resumen!$F$7))</f>
        <v/>
      </c>
      <c r="H35" s="34">
        <f>IF(G35="","",IF(D35="ud",-INT(-(C35*G35*(1+Resumen!$C$9))),ROUND(C35*G35*(1+Resumen!$C$9)/1000,3)))</f>
        <v/>
      </c>
      <c r="I35" s="31">
        <f>IF(G35="","",IF(D35="ud","ud",IF(D35="g","kg","l")))</f>
        <v/>
      </c>
      <c r="J35" s="22">
        <f>IF(G35="","",ROUND(N(H35)*N(E35),2))</f>
        <v/>
      </c>
      <c r="K35" s="30" t="n"/>
      <c r="L35" s="33" t="n"/>
      <c r="M35" s="13" t="n"/>
      <c r="N35" s="22">
        <f>IF(G35="","",IF(M35="",J35,M35))</f>
        <v/>
      </c>
    </row>
    <row r="36">
      <c r="B36" s="30" t="n"/>
      <c r="C36" s="32" t="n"/>
      <c r="D36" s="33" t="n"/>
      <c r="E36" s="13" t="n"/>
      <c r="F36" s="30" t="n"/>
      <c r="G36" s="21">
        <f>IF(OR(F36="",B36=""),"",IFERROR(VLOOKUP(F36,Platos!$B$8:$E$19,4,FALSE),Resumen!$F$7))</f>
        <v/>
      </c>
      <c r="H36" s="34">
        <f>IF(G36="","",IF(D36="ud",-INT(-(C36*G36*(1+Resumen!$C$9))),ROUND(C36*G36*(1+Resumen!$C$9)/1000,3)))</f>
        <v/>
      </c>
      <c r="I36" s="31">
        <f>IF(G36="","",IF(D36="ud","ud",IF(D36="g","kg","l")))</f>
        <v/>
      </c>
      <c r="J36" s="22">
        <f>IF(G36="","",ROUND(N(H36)*N(E36),2))</f>
        <v/>
      </c>
      <c r="K36" s="30" t="n"/>
      <c r="L36" s="33" t="n"/>
      <c r="M36" s="13" t="n"/>
      <c r="N36" s="22">
        <f>IF(G36="","",IF(M36="",J36,M36))</f>
        <v/>
      </c>
    </row>
    <row r="37">
      <c r="B37" s="30" t="n"/>
      <c r="C37" s="32" t="n"/>
      <c r="D37" s="33" t="n"/>
      <c r="E37" s="13" t="n"/>
      <c r="F37" s="30" t="n"/>
      <c r="G37" s="21">
        <f>IF(OR(F37="",B37=""),"",IFERROR(VLOOKUP(F37,Platos!$B$8:$E$19,4,FALSE),Resumen!$F$7))</f>
        <v/>
      </c>
      <c r="H37" s="34">
        <f>IF(G37="","",IF(D37="ud",-INT(-(C37*G37*(1+Resumen!$C$9))),ROUND(C37*G37*(1+Resumen!$C$9)/1000,3)))</f>
        <v/>
      </c>
      <c r="I37" s="31">
        <f>IF(G37="","",IF(D37="ud","ud",IF(D37="g","kg","l")))</f>
        <v/>
      </c>
      <c r="J37" s="22">
        <f>IF(G37="","",ROUND(N(H37)*N(E37),2))</f>
        <v/>
      </c>
      <c r="K37" s="30" t="n"/>
      <c r="L37" s="33" t="n"/>
      <c r="M37" s="13" t="n"/>
      <c r="N37" s="22">
        <f>IF(G37="","",IF(M37="",J37,M37))</f>
        <v/>
      </c>
    </row>
    <row r="38">
      <c r="B38" s="30" t="n"/>
      <c r="C38" s="32" t="n"/>
      <c r="D38" s="33" t="n"/>
      <c r="E38" s="13" t="n"/>
      <c r="F38" s="30" t="n"/>
      <c r="G38" s="21">
        <f>IF(OR(F38="",B38=""),"",IFERROR(VLOOKUP(F38,Platos!$B$8:$E$19,4,FALSE),Resumen!$F$7))</f>
        <v/>
      </c>
      <c r="H38" s="34">
        <f>IF(G38="","",IF(D38="ud",-INT(-(C38*G38*(1+Resumen!$C$9))),ROUND(C38*G38*(1+Resumen!$C$9)/1000,3)))</f>
        <v/>
      </c>
      <c r="I38" s="31">
        <f>IF(G38="","",IF(D38="ud","ud",IF(D38="g","kg","l")))</f>
        <v/>
      </c>
      <c r="J38" s="22">
        <f>IF(G38="","",ROUND(N(H38)*N(E38),2))</f>
        <v/>
      </c>
      <c r="K38" s="30" t="n"/>
      <c r="L38" s="33" t="n"/>
      <c r="M38" s="13" t="n"/>
      <c r="N38" s="22">
        <f>IF(G38="","",IF(M38="",J38,M38))</f>
        <v/>
      </c>
    </row>
    <row r="39">
      <c r="B39" s="30" t="n"/>
      <c r="C39" s="32" t="n"/>
      <c r="D39" s="33" t="n"/>
      <c r="E39" s="13" t="n"/>
      <c r="F39" s="30" t="n"/>
      <c r="G39" s="21">
        <f>IF(OR(F39="",B39=""),"",IFERROR(VLOOKUP(F39,Platos!$B$8:$E$19,4,FALSE),Resumen!$F$7))</f>
        <v/>
      </c>
      <c r="H39" s="34">
        <f>IF(G39="","",IF(D39="ud",-INT(-(C39*G39*(1+Resumen!$C$9))),ROUND(C39*G39*(1+Resumen!$C$9)/1000,3)))</f>
        <v/>
      </c>
      <c r="I39" s="31">
        <f>IF(G39="","",IF(D39="ud","ud",IF(D39="g","kg","l")))</f>
        <v/>
      </c>
      <c r="J39" s="22">
        <f>IF(G39="","",ROUND(N(H39)*N(E39),2))</f>
        <v/>
      </c>
      <c r="K39" s="30" t="n"/>
      <c r="L39" s="33" t="n"/>
      <c r="M39" s="13" t="n"/>
      <c r="N39" s="22">
        <f>IF(G39="","",IF(M39="",J39,M39))</f>
        <v/>
      </c>
    </row>
    <row r="40">
      <c r="B40" s="30" t="n"/>
      <c r="C40" s="32" t="n"/>
      <c r="D40" s="33" t="n"/>
      <c r="E40" s="13" t="n"/>
      <c r="F40" s="30" t="n"/>
      <c r="G40" s="21">
        <f>IF(OR(F40="",B40=""),"",IFERROR(VLOOKUP(F40,Platos!$B$8:$E$19,4,FALSE),Resumen!$F$7))</f>
        <v/>
      </c>
      <c r="H40" s="34">
        <f>IF(G40="","",IF(D40="ud",-INT(-(C40*G40*(1+Resumen!$C$9))),ROUND(C40*G40*(1+Resumen!$C$9)/1000,3)))</f>
        <v/>
      </c>
      <c r="I40" s="31">
        <f>IF(G40="","",IF(D40="ud","ud",IF(D40="g","kg","l")))</f>
        <v/>
      </c>
      <c r="J40" s="22">
        <f>IF(G40="","",ROUND(N(H40)*N(E40),2))</f>
        <v/>
      </c>
      <c r="K40" s="30" t="n"/>
      <c r="L40" s="33" t="n"/>
      <c r="M40" s="13" t="n"/>
      <c r="N40" s="22">
        <f>IF(G40="","",IF(M40="",J40,M40))</f>
        <v/>
      </c>
    </row>
    <row r="41">
      <c r="B41" s="30" t="n"/>
      <c r="C41" s="32" t="n"/>
      <c r="D41" s="33" t="n"/>
      <c r="E41" s="13" t="n"/>
      <c r="F41" s="30" t="n"/>
      <c r="G41" s="21">
        <f>IF(OR(F41="",B41=""),"",IFERROR(VLOOKUP(F41,Platos!$B$8:$E$19,4,FALSE),Resumen!$F$7))</f>
        <v/>
      </c>
      <c r="H41" s="34">
        <f>IF(G41="","",IF(D41="ud",-INT(-(C41*G41*(1+Resumen!$C$9))),ROUND(C41*G41*(1+Resumen!$C$9)/1000,3)))</f>
        <v/>
      </c>
      <c r="I41" s="31">
        <f>IF(G41="","",IF(D41="ud","ud",IF(D41="g","kg","l")))</f>
        <v/>
      </c>
      <c r="J41" s="22">
        <f>IF(G41="","",ROUND(N(H41)*N(E41),2))</f>
        <v/>
      </c>
      <c r="K41" s="30" t="n"/>
      <c r="L41" s="33" t="n"/>
      <c r="M41" s="13" t="n"/>
      <c r="N41" s="22">
        <f>IF(G41="","",IF(M41="",J41,M41))</f>
        <v/>
      </c>
    </row>
    <row r="42">
      <c r="B42" s="30" t="n"/>
      <c r="C42" s="32" t="n"/>
      <c r="D42" s="33" t="n"/>
      <c r="E42" s="13" t="n"/>
      <c r="F42" s="30" t="n"/>
      <c r="G42" s="21">
        <f>IF(OR(F42="",B42=""),"",IFERROR(VLOOKUP(F42,Platos!$B$8:$E$19,4,FALSE),Resumen!$F$7))</f>
        <v/>
      </c>
      <c r="H42" s="34">
        <f>IF(G42="","",IF(D42="ud",-INT(-(C42*G42*(1+Resumen!$C$9))),ROUND(C42*G42*(1+Resumen!$C$9)/1000,3)))</f>
        <v/>
      </c>
      <c r="I42" s="31">
        <f>IF(G42="","",IF(D42="ud","ud",IF(D42="g","kg","l")))</f>
        <v/>
      </c>
      <c r="J42" s="22">
        <f>IF(G42="","",ROUND(N(H42)*N(E42),2))</f>
        <v/>
      </c>
      <c r="K42" s="30" t="n"/>
      <c r="L42" s="33" t="n"/>
      <c r="M42" s="13" t="n"/>
      <c r="N42" s="22">
        <f>IF(G42="","",IF(M42="",J42,M42))</f>
        <v/>
      </c>
    </row>
    <row r="43">
      <c r="B43" s="30" t="n"/>
      <c r="C43" s="32" t="n"/>
      <c r="D43" s="33" t="n"/>
      <c r="E43" s="13" t="n"/>
      <c r="F43" s="30" t="n"/>
      <c r="G43" s="21">
        <f>IF(OR(F43="",B43=""),"",IFERROR(VLOOKUP(F43,Platos!$B$8:$E$19,4,FALSE),Resumen!$F$7))</f>
        <v/>
      </c>
      <c r="H43" s="34">
        <f>IF(G43="","",IF(D43="ud",-INT(-(C43*G43*(1+Resumen!$C$9))),ROUND(C43*G43*(1+Resumen!$C$9)/1000,3)))</f>
        <v/>
      </c>
      <c r="I43" s="31">
        <f>IF(G43="","",IF(D43="ud","ud",IF(D43="g","kg","l")))</f>
        <v/>
      </c>
      <c r="J43" s="22">
        <f>IF(G43="","",ROUND(N(H43)*N(E43),2))</f>
        <v/>
      </c>
      <c r="K43" s="30" t="n"/>
      <c r="L43" s="33" t="n"/>
      <c r="M43" s="13" t="n"/>
      <c r="N43" s="22">
        <f>IF(G43="","",IF(M43="",J43,M43))</f>
        <v/>
      </c>
    </row>
    <row r="44">
      <c r="B44" s="30" t="n"/>
      <c r="C44" s="32" t="n"/>
      <c r="D44" s="33" t="n"/>
      <c r="E44" s="13" t="n"/>
      <c r="F44" s="30" t="n"/>
      <c r="G44" s="21">
        <f>IF(OR(F44="",B44=""),"",IFERROR(VLOOKUP(F44,Platos!$B$8:$E$19,4,FALSE),Resumen!$F$7))</f>
        <v/>
      </c>
      <c r="H44" s="34">
        <f>IF(G44="","",IF(D44="ud",-INT(-(C44*G44*(1+Resumen!$C$9))),ROUND(C44*G44*(1+Resumen!$C$9)/1000,3)))</f>
        <v/>
      </c>
      <c r="I44" s="31">
        <f>IF(G44="","",IF(D44="ud","ud",IF(D44="g","kg","l")))</f>
        <v/>
      </c>
      <c r="J44" s="22">
        <f>IF(G44="","",ROUND(N(H44)*N(E44),2))</f>
        <v/>
      </c>
      <c r="K44" s="30" t="n"/>
      <c r="L44" s="33" t="n"/>
      <c r="M44" s="13" t="n"/>
      <c r="N44" s="22">
        <f>IF(G44="","",IF(M44="",J44,M44))</f>
        <v/>
      </c>
    </row>
    <row r="45">
      <c r="B45" s="30" t="n"/>
      <c r="C45" s="32" t="n"/>
      <c r="D45" s="33" t="n"/>
      <c r="E45" s="13" t="n"/>
      <c r="F45" s="30" t="n"/>
      <c r="G45" s="21">
        <f>IF(OR(F45="",B45=""),"",IFERROR(VLOOKUP(F45,Platos!$B$8:$E$19,4,FALSE),Resumen!$F$7))</f>
        <v/>
      </c>
      <c r="H45" s="34">
        <f>IF(G45="","",IF(D45="ud",-INT(-(C45*G45*(1+Resumen!$C$9))),ROUND(C45*G45*(1+Resumen!$C$9)/1000,3)))</f>
        <v/>
      </c>
      <c r="I45" s="31">
        <f>IF(G45="","",IF(D45="ud","ud",IF(D45="g","kg","l")))</f>
        <v/>
      </c>
      <c r="J45" s="22">
        <f>IF(G45="","",ROUND(N(H45)*N(E45),2))</f>
        <v/>
      </c>
      <c r="K45" s="30" t="n"/>
      <c r="L45" s="33" t="n"/>
      <c r="M45" s="13" t="n"/>
      <c r="N45" s="22">
        <f>IF(G45="","",IF(M45="",J45,M45))</f>
        <v/>
      </c>
    </row>
    <row r="46">
      <c r="B46" s="30" t="n"/>
      <c r="C46" s="32" t="n"/>
      <c r="D46" s="33" t="n"/>
      <c r="E46" s="13" t="n"/>
      <c r="F46" s="30" t="n"/>
      <c r="G46" s="21">
        <f>IF(OR(F46="",B46=""),"",IFERROR(VLOOKUP(F46,Platos!$B$8:$E$19,4,FALSE),Resumen!$F$7))</f>
        <v/>
      </c>
      <c r="H46" s="34">
        <f>IF(G46="","",IF(D46="ud",-INT(-(C46*G46*(1+Resumen!$C$9))),ROUND(C46*G46*(1+Resumen!$C$9)/1000,3)))</f>
        <v/>
      </c>
      <c r="I46" s="31">
        <f>IF(G46="","",IF(D46="ud","ud",IF(D46="g","kg","l")))</f>
        <v/>
      </c>
      <c r="J46" s="22">
        <f>IF(G46="","",ROUND(N(H46)*N(E46),2))</f>
        <v/>
      </c>
      <c r="K46" s="30" t="n"/>
      <c r="L46" s="33" t="n"/>
      <c r="M46" s="13" t="n"/>
      <c r="N46" s="22">
        <f>IF(G46="","",IF(M46="",J46,M46))</f>
        <v/>
      </c>
    </row>
    <row r="47">
      <c r="B47" s="30" t="n"/>
      <c r="C47" s="32" t="n"/>
      <c r="D47" s="33" t="n"/>
      <c r="E47" s="13" t="n"/>
      <c r="F47" s="30" t="n"/>
      <c r="G47" s="21">
        <f>IF(OR(F47="",B47=""),"",IFERROR(VLOOKUP(F47,Platos!$B$8:$E$19,4,FALSE),Resumen!$F$7))</f>
        <v/>
      </c>
      <c r="H47" s="34">
        <f>IF(G47="","",IF(D47="ud",-INT(-(C47*G47*(1+Resumen!$C$9))),ROUND(C47*G47*(1+Resumen!$C$9)/1000,3)))</f>
        <v/>
      </c>
      <c r="I47" s="31">
        <f>IF(G47="","",IF(D47="ud","ud",IF(D47="g","kg","l")))</f>
        <v/>
      </c>
      <c r="J47" s="22">
        <f>IF(G47="","",ROUND(N(H47)*N(E47),2))</f>
        <v/>
      </c>
      <c r="K47" s="30" t="n"/>
      <c r="L47" s="33" t="n"/>
      <c r="M47" s="13" t="n"/>
      <c r="N47" s="22">
        <f>IF(G47="","",IF(M47="",J47,M47))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autoFilter ref="B7:N47"/>
  <mergeCells count="2">
    <mergeCell ref="B3:N3"/>
    <mergeCell ref="B2:N2"/>
  </mergeCells>
  <conditionalFormatting sqref="L8:L47">
    <cfRule type="cellIs" priority="1" operator="equal" dxfId="2">
      <formula>"Sí"</formula>
    </cfRule>
    <cfRule type="cellIs" priority="2" operator="equal" dxfId="1">
      <formula>"No"</formula>
    </cfRule>
  </conditionalFormatting>
  <conditionalFormatting sqref="M8:M47">
    <cfRule type="expression" priority="3" dxfId="0">
      <formula>AND(ISNUMBER(M8),M8&gt;J8)</formula>
    </cfRule>
  </conditionalFormatting>
  <dataValidations count="4">
    <dataValidation sqref="F8:F47" showDropDown="0" showInputMessage="0" showErrorMessage="0" allowBlank="1" type="list">
      <formula1>=Platos!$B$8:$B$19</formula1>
    </dataValidation>
    <dataValidation sqref="D8:D47" showDropDown="0" showInputMessage="0" showErrorMessage="0" allowBlank="1" type="list">
      <formula1>"g,ml,ud"</formula1>
    </dataValidation>
    <dataValidation sqref="K8:K47" showDropDown="0" showInputMessage="0" showErrorMessage="0" allowBlank="1" type="list">
      <formula1>=Listas!$C$2:$C$7</formula1>
    </dataValidation>
    <dataValidation sqref="L8:L47" showDropDown="0" showInputMessage="0" showErrorMessage="0" allowBlank="1" type="list">
      <formula1>"Sí,No"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I37"/>
  <sheetViews>
    <sheetView showGridLines="0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3" customWidth="1" min="1" max="1"/>
    <col width="11" customWidth="1" min="2" max="2"/>
    <col width="13" customWidth="1" min="3" max="3"/>
    <col width="46" customWidth="1" min="4" max="4"/>
    <col width="30" customWidth="1" min="5" max="5"/>
    <col width="9" customWidth="1" min="6" max="6"/>
    <col width="13" customWidth="1" min="7" max="7"/>
    <col width="11" customWidth="1" min="8" max="8"/>
    <col width="15" customWidth="1" min="9" max="9"/>
  </cols>
  <sheetData>
    <row r="2" ht="34" customHeight="1">
      <c r="B2" s="1" t="inlineStr">
        <is>
          <t>Cronograma de preparación</t>
        </is>
      </c>
      <c r="C2" s="2" t="n"/>
      <c r="D2" s="2" t="n"/>
      <c r="E2" s="2" t="n"/>
      <c r="F2" s="2" t="n"/>
      <c r="G2" s="2" t="n"/>
      <c r="H2" s="2" t="n"/>
      <c r="I2" s="2" t="n"/>
    </row>
    <row r="3">
      <c r="B3" s="3" t="inlineStr">
        <is>
          <t>Indica cuántos días antes de la cena haces cada tarea (0 = el mismo día). La fecha y el estado se calculan solos.</t>
        </is>
      </c>
    </row>
    <row r="5">
      <c r="B5" s="29" t="inlineStr">
        <is>
          <t>Fecha de la cena:</t>
        </is>
      </c>
      <c r="C5" s="35">
        <f>Resumen!C6</f>
        <v/>
      </c>
      <c r="E5" s="36" t="inlineStr">
        <is>
          <t>Tareas hechas:</t>
        </is>
      </c>
      <c r="F5" s="25">
        <f>COUNTIF(F8:F37,"Sí")</f>
        <v/>
      </c>
    </row>
    <row r="7" ht="30" customHeight="1">
      <c r="B7" s="19" t="inlineStr">
        <is>
          <t>Días antes</t>
        </is>
      </c>
      <c r="C7" s="19" t="inlineStr">
        <is>
          <t>Fecha</t>
        </is>
      </c>
      <c r="D7" s="19" t="inlineStr">
        <is>
          <t>Tarea</t>
        </is>
      </c>
      <c r="E7" s="19" t="inlineStr">
        <is>
          <t>Plato (opcional)</t>
        </is>
      </c>
      <c r="F7" s="19" t="inlineStr">
        <is>
          <t>Hecho</t>
        </is>
      </c>
      <c r="G7" s="19" t="inlineStr">
        <is>
          <t>Estado</t>
        </is>
      </c>
      <c r="H7" s="19" t="inlineStr">
        <is>
          <t>Faltan (días)</t>
        </is>
      </c>
      <c r="I7" s="19" t="inlineStr">
        <is>
          <t>Pendiente para</t>
        </is>
      </c>
    </row>
    <row r="8">
      <c r="B8" s="9" t="n">
        <v>21</v>
      </c>
      <c r="C8" s="37">
        <f>IF(B8="","",Resumen!$C$6-B8)</f>
        <v/>
      </c>
      <c r="D8" s="30" t="inlineStr">
        <is>
          <t>Encargar el cordero en la carnicería y los langostinos en la pescadería</t>
        </is>
      </c>
      <c r="E8" s="30" t="inlineStr">
        <is>
          <t>Cordero asado con patatas</t>
        </is>
      </c>
      <c r="F8" s="33" t="inlineStr">
        <is>
          <t>Sí</t>
        </is>
      </c>
      <c r="G8" s="31">
        <f>IF(D8="","",IF(F8="Sí","Hecho",IF(C8="","Sin fecha",IF(C8&lt;TODAY(),"Atrasada",IF(C8=TODAY(),"Hoy","Pendiente")))))</f>
        <v/>
      </c>
      <c r="H8" s="21">
        <f>IF(OR(D8="",C8="",F8="Sí"),"",C8-TODAY())</f>
        <v/>
      </c>
      <c r="I8" s="37">
        <f>IF(OR(G8="Pendiente",G8="Hoy",G8="Atrasada"),C8,"")</f>
        <v/>
      </c>
    </row>
    <row r="9">
      <c r="B9" s="9" t="n">
        <v>14</v>
      </c>
      <c r="C9" s="37">
        <f>IF(B9="","",Resumen!$C$6-B9)</f>
        <v/>
      </c>
      <c r="D9" s="30" t="inlineStr">
        <is>
          <t>Comprar cava, vino, agua y refrescos</t>
        </is>
      </c>
      <c r="E9" s="30" t="inlineStr">
        <is>
          <t>Bebidas</t>
        </is>
      </c>
      <c r="F9" s="33" t="inlineStr">
        <is>
          <t>Sí</t>
        </is>
      </c>
      <c r="G9" s="31">
        <f>IF(D9="","",IF(F9="Sí","Hecho",IF(C9="","Sin fecha",IF(C9&lt;TODAY(),"Atrasada",IF(C9=TODAY(),"Hoy","Pendiente")))))</f>
        <v/>
      </c>
      <c r="H9" s="21">
        <f>IF(OR(D9="",C9="",F9="Sí"),"",C9-TODAY())</f>
        <v/>
      </c>
      <c r="I9" s="37">
        <f>IF(OR(G9="Pendiente",G9="Hoy",G9="Atrasada"),C9,"")</f>
        <v/>
      </c>
    </row>
    <row r="10">
      <c r="B10" s="9" t="n">
        <v>14</v>
      </c>
      <c r="C10" s="37">
        <f>IF(B10="","",Resumen!$C$6-B10)</f>
        <v/>
      </c>
      <c r="D10" s="30" t="inlineStr">
        <is>
          <t>Comprar el turrón y las galletas</t>
        </is>
      </c>
      <c r="E10" s="30" t="inlineStr">
        <is>
          <t>Tarta de turrón</t>
        </is>
      </c>
      <c r="F10" s="33" t="inlineStr">
        <is>
          <t>Sí</t>
        </is>
      </c>
      <c r="G10" s="31">
        <f>IF(D10="","",IF(F10="Sí","Hecho",IF(C10="","Sin fecha",IF(C10&lt;TODAY(),"Atrasada",IF(C10=TODAY(),"Hoy","Pendiente")))))</f>
        <v/>
      </c>
      <c r="H10" s="21">
        <f>IF(OR(D10="",C10="",F10="Sí"),"",C10-TODAY())</f>
        <v/>
      </c>
      <c r="I10" s="37">
        <f>IF(OR(G10="Pendiente",G10="Hoy",G10="Atrasada"),C10,"")</f>
        <v/>
      </c>
    </row>
    <row r="11">
      <c r="B11" s="9" t="n">
        <v>7</v>
      </c>
      <c r="C11" s="37">
        <f>IF(B11="","",Resumen!$C$6-B11)</f>
        <v/>
      </c>
      <c r="D11" s="30" t="inlineStr">
        <is>
          <t>Confirmar comensales y revisar alergias e intolerancias</t>
        </is>
      </c>
      <c r="E11" s="30" t="n"/>
      <c r="F11" s="33" t="inlineStr">
        <is>
          <t>No</t>
        </is>
      </c>
      <c r="G11" s="31">
        <f>IF(D11="","",IF(F11="Sí","Hecho",IF(C11="","Sin fecha",IF(C11&lt;TODAY(),"Atrasada",IF(C11=TODAY(),"Hoy","Pendiente")))))</f>
        <v/>
      </c>
      <c r="H11" s="21">
        <f>IF(OR(D11="",C11="",F11="Sí"),"",C11-TODAY())</f>
        <v/>
      </c>
      <c r="I11" s="37">
        <f>IF(OR(G11="Pendiente",G11="Hoy",G11="Atrasada"),C11,"")</f>
        <v/>
      </c>
    </row>
    <row r="12">
      <c r="B12" s="9" t="n">
        <v>4</v>
      </c>
      <c r="C12" s="37">
        <f>IF(B12="","",Resumen!$C$6-B12)</f>
        <v/>
      </c>
      <c r="D12" s="30" t="inlineStr">
        <is>
          <t>Comprar verduras, patatas, nata y caldo</t>
        </is>
      </c>
      <c r="E12" s="30" t="inlineStr">
        <is>
          <t>Crema de calabaza</t>
        </is>
      </c>
      <c r="F12" s="33" t="inlineStr">
        <is>
          <t>No</t>
        </is>
      </c>
      <c r="G12" s="31">
        <f>IF(D12="","",IF(F12="Sí","Hecho",IF(C12="","Sin fecha",IF(C12&lt;TODAY(),"Atrasada",IF(C12=TODAY(),"Hoy","Pendiente")))))</f>
        <v/>
      </c>
      <c r="H12" s="21">
        <f>IF(OR(D12="",C12="",F12="Sí"),"",C12-TODAY())</f>
        <v/>
      </c>
      <c r="I12" s="37">
        <f>IF(OR(G12="Pendiente",G12="Hoy",G12="Atrasada"),C12,"")</f>
        <v/>
      </c>
    </row>
    <row r="13">
      <c r="B13" s="9" t="n">
        <v>3</v>
      </c>
      <c r="C13" s="37">
        <f>IF(B13="","",Resumen!$C$6-B13)</f>
        <v/>
      </c>
      <c r="D13" s="30" t="inlineStr">
        <is>
          <t>Sacar los langostinos del congelador a la nevera</t>
        </is>
      </c>
      <c r="E13" s="30" t="inlineStr">
        <is>
          <t>Langostinos cocidos</t>
        </is>
      </c>
      <c r="F13" s="33" t="inlineStr">
        <is>
          <t>No</t>
        </is>
      </c>
      <c r="G13" s="31">
        <f>IF(D13="","",IF(F13="Sí","Hecho",IF(C13="","Sin fecha",IF(C13&lt;TODAY(),"Atrasada",IF(C13=TODAY(),"Hoy","Pendiente")))))</f>
        <v/>
      </c>
      <c r="H13" s="21">
        <f>IF(OR(D13="",C13="",F13="Sí"),"",C13-TODAY())</f>
        <v/>
      </c>
      <c r="I13" s="37">
        <f>IF(OR(G13="Pendiente",G13="Hoy",G13="Atrasada"),C13,"")</f>
        <v/>
      </c>
    </row>
    <row r="14">
      <c r="B14" s="9" t="n">
        <v>2</v>
      </c>
      <c r="C14" s="37">
        <f>IF(B14="","",Resumen!$C$6-B14)</f>
        <v/>
      </c>
      <c r="D14" s="30" t="inlineStr">
        <is>
          <t>Hacer la tarta de turrón y dejarla en la nevera</t>
        </is>
      </c>
      <c r="E14" s="30" t="inlineStr">
        <is>
          <t>Tarta de turrón</t>
        </is>
      </c>
      <c r="F14" s="33" t="inlineStr">
        <is>
          <t>No</t>
        </is>
      </c>
      <c r="G14" s="31">
        <f>IF(D14="","",IF(F14="Sí","Hecho",IF(C14="","Sin fecha",IF(C14&lt;TODAY(),"Atrasada",IF(C14=TODAY(),"Hoy","Pendiente")))))</f>
        <v/>
      </c>
      <c r="H14" s="21">
        <f>IF(OR(D14="",C14="",F14="Sí"),"",C14-TODAY())</f>
        <v/>
      </c>
      <c r="I14" s="37">
        <f>IF(OR(G14="Pendiente",G14="Hoy",G14="Atrasada"),C14,"")</f>
        <v/>
      </c>
    </row>
    <row r="15">
      <c r="B15" s="9" t="n">
        <v>2</v>
      </c>
      <c r="C15" s="37">
        <f>IF(B15="","",Resumen!$C$6-B15)</f>
        <v/>
      </c>
      <c r="D15" s="30" t="inlineStr">
        <is>
          <t>Preparar la crema de calabaza y guardarla</t>
        </is>
      </c>
      <c r="E15" s="30" t="inlineStr">
        <is>
          <t>Crema de calabaza</t>
        </is>
      </c>
      <c r="F15" s="33" t="inlineStr">
        <is>
          <t>No</t>
        </is>
      </c>
      <c r="G15" s="31">
        <f>IF(D15="","",IF(F15="Sí","Hecho",IF(C15="","Sin fecha",IF(C15&lt;TODAY(),"Atrasada",IF(C15=TODAY(),"Hoy","Pendiente")))))</f>
        <v/>
      </c>
      <c r="H15" s="21">
        <f>IF(OR(D15="",C15="",F15="Sí"),"",C15-TODAY())</f>
        <v/>
      </c>
      <c r="I15" s="37">
        <f>IF(OR(G15="Pendiente",G15="Hoy",G15="Atrasada"),C15,"")</f>
        <v/>
      </c>
    </row>
    <row r="16">
      <c r="B16" s="9" t="n">
        <v>1</v>
      </c>
      <c r="C16" s="37">
        <f>IF(B16="","",Resumen!$C$6-B16)</f>
        <v/>
      </c>
      <c r="D16" s="30" t="inlineStr">
        <is>
          <t>Recoger los encargos de carnicería y pescadería</t>
        </is>
      </c>
      <c r="E16" s="30" t="n"/>
      <c r="F16" s="33" t="inlineStr">
        <is>
          <t>No</t>
        </is>
      </c>
      <c r="G16" s="31">
        <f>IF(D16="","",IF(F16="Sí","Hecho",IF(C16="","Sin fecha",IF(C16&lt;TODAY(),"Atrasada",IF(C16=TODAY(),"Hoy","Pendiente")))))</f>
        <v/>
      </c>
      <c r="H16" s="21">
        <f>IF(OR(D16="",C16="",F16="Sí"),"",C16-TODAY())</f>
        <v/>
      </c>
      <c r="I16" s="37">
        <f>IF(OR(G16="Pendiente",G16="Hoy",G16="Atrasada"),C16,"")</f>
        <v/>
      </c>
    </row>
    <row r="17">
      <c r="B17" s="9" t="n">
        <v>1</v>
      </c>
      <c r="C17" s="37">
        <f>IF(B17="","",Resumen!$C$6-B17)</f>
        <v/>
      </c>
      <c r="D17" s="30" t="inlineStr">
        <is>
          <t>Poner la mesa y enfriar el cava</t>
        </is>
      </c>
      <c r="E17" s="30" t="inlineStr">
        <is>
          <t>Bebidas</t>
        </is>
      </c>
      <c r="F17" s="33" t="inlineStr">
        <is>
          <t>No</t>
        </is>
      </c>
      <c r="G17" s="31">
        <f>IF(D17="","",IF(F17="Sí","Hecho",IF(C17="","Sin fecha",IF(C17&lt;TODAY(),"Atrasada",IF(C17=TODAY(),"Hoy","Pendiente")))))</f>
        <v/>
      </c>
      <c r="H17" s="21">
        <f>IF(OR(D17="",C17="",F17="Sí"),"",C17-TODAY())</f>
        <v/>
      </c>
      <c r="I17" s="37">
        <f>IF(OR(G17="Pendiente",G17="Hoy",G17="Atrasada"),C17,"")</f>
        <v/>
      </c>
    </row>
    <row r="18">
      <c r="B18" s="9" t="n">
        <v>0</v>
      </c>
      <c r="C18" s="37">
        <f>IF(B18="","",Resumen!$C$6-B18)</f>
        <v/>
      </c>
      <c r="D18" s="30" t="inlineStr">
        <is>
          <t>Meter el cordero y las patatas al horno</t>
        </is>
      </c>
      <c r="E18" s="30" t="inlineStr">
        <is>
          <t>Cordero asado con patatas</t>
        </is>
      </c>
      <c r="F18" s="33" t="inlineStr">
        <is>
          <t>No</t>
        </is>
      </c>
      <c r="G18" s="31">
        <f>IF(D18="","",IF(F18="Sí","Hecho",IF(C18="","Sin fecha",IF(C18&lt;TODAY(),"Atrasada",IF(C18=TODAY(),"Hoy","Pendiente")))))</f>
        <v/>
      </c>
      <c r="H18" s="21">
        <f>IF(OR(D18="",C18="",F18="Sí"),"",C18-TODAY())</f>
        <v/>
      </c>
      <c r="I18" s="37">
        <f>IF(OR(G18="Pendiente",G18="Hoy",G18="Atrasada"),C18,"")</f>
        <v/>
      </c>
    </row>
    <row r="19">
      <c r="B19" s="9" t="n">
        <v>0</v>
      </c>
      <c r="C19" s="37">
        <f>IF(B19="","",Resumen!$C$6-B19)</f>
        <v/>
      </c>
      <c r="D19" s="30" t="inlineStr">
        <is>
          <t>Cortar el jamón y el queso y cocer los langostinos</t>
        </is>
      </c>
      <c r="E19" s="30" t="inlineStr">
        <is>
          <t>Aperitivo de jamón y queso</t>
        </is>
      </c>
      <c r="F19" s="33" t="inlineStr">
        <is>
          <t>No</t>
        </is>
      </c>
      <c r="G19" s="31">
        <f>IF(D19="","",IF(F19="Sí","Hecho",IF(C19="","Sin fecha",IF(C19&lt;TODAY(),"Atrasada",IF(C19=TODAY(),"Hoy","Pendiente")))))</f>
        <v/>
      </c>
      <c r="H19" s="21">
        <f>IF(OR(D19="",C19="",F19="Sí"),"",C19-TODAY())</f>
        <v/>
      </c>
      <c r="I19" s="37">
        <f>IF(OR(G19="Pendiente",G19="Hoy",G19="Atrasada"),C19,"")</f>
        <v/>
      </c>
    </row>
    <row r="20">
      <c r="B20" s="9" t="n"/>
      <c r="C20" s="37">
        <f>IF(B20="","",Resumen!$C$6-B20)</f>
        <v/>
      </c>
      <c r="D20" s="30" t="n"/>
      <c r="E20" s="30" t="n"/>
      <c r="F20" s="33" t="n"/>
      <c r="G20" s="31">
        <f>IF(D20="","",IF(F20="Sí","Hecho",IF(C20="","Sin fecha",IF(C20&lt;TODAY(),"Atrasada",IF(C20=TODAY(),"Hoy","Pendiente")))))</f>
        <v/>
      </c>
      <c r="H20" s="21">
        <f>IF(OR(D20="",C20="",F20="Sí"),"",C20-TODAY())</f>
        <v/>
      </c>
      <c r="I20" s="37">
        <f>IF(OR(G20="Pendiente",G20="Hoy",G20="Atrasada"),C20,"")</f>
        <v/>
      </c>
    </row>
    <row r="21">
      <c r="B21" s="9" t="n"/>
      <c r="C21" s="37">
        <f>IF(B21="","",Resumen!$C$6-B21)</f>
        <v/>
      </c>
      <c r="D21" s="30" t="n"/>
      <c r="E21" s="30" t="n"/>
      <c r="F21" s="33" t="n"/>
      <c r="G21" s="31">
        <f>IF(D21="","",IF(F21="Sí","Hecho",IF(C21="","Sin fecha",IF(C21&lt;TODAY(),"Atrasada",IF(C21=TODAY(),"Hoy","Pendiente")))))</f>
        <v/>
      </c>
      <c r="H21" s="21">
        <f>IF(OR(D21="",C21="",F21="Sí"),"",C21-TODAY())</f>
        <v/>
      </c>
      <c r="I21" s="37">
        <f>IF(OR(G21="Pendiente",G21="Hoy",G21="Atrasada"),C21,"")</f>
        <v/>
      </c>
    </row>
    <row r="22">
      <c r="B22" s="9" t="n"/>
      <c r="C22" s="37">
        <f>IF(B22="","",Resumen!$C$6-B22)</f>
        <v/>
      </c>
      <c r="D22" s="30" t="n"/>
      <c r="E22" s="30" t="n"/>
      <c r="F22" s="33" t="n"/>
      <c r="G22" s="31">
        <f>IF(D22="","",IF(F22="Sí","Hecho",IF(C22="","Sin fecha",IF(C22&lt;TODAY(),"Atrasada",IF(C22=TODAY(),"Hoy","Pendiente")))))</f>
        <v/>
      </c>
      <c r="H22" s="21">
        <f>IF(OR(D22="",C22="",F22="Sí"),"",C22-TODAY())</f>
        <v/>
      </c>
      <c r="I22" s="37">
        <f>IF(OR(G22="Pendiente",G22="Hoy",G22="Atrasada"),C22,"")</f>
        <v/>
      </c>
    </row>
    <row r="23">
      <c r="B23" s="9" t="n"/>
      <c r="C23" s="37">
        <f>IF(B23="","",Resumen!$C$6-B23)</f>
        <v/>
      </c>
      <c r="D23" s="30" t="n"/>
      <c r="E23" s="30" t="n"/>
      <c r="F23" s="33" t="n"/>
      <c r="G23" s="31">
        <f>IF(D23="","",IF(F23="Sí","Hecho",IF(C23="","Sin fecha",IF(C23&lt;TODAY(),"Atrasada",IF(C23=TODAY(),"Hoy","Pendiente")))))</f>
        <v/>
      </c>
      <c r="H23" s="21">
        <f>IF(OR(D23="",C23="",F23="Sí"),"",C23-TODAY())</f>
        <v/>
      </c>
      <c r="I23" s="37">
        <f>IF(OR(G23="Pendiente",G23="Hoy",G23="Atrasada"),C23,"")</f>
        <v/>
      </c>
    </row>
    <row r="24">
      <c r="B24" s="9" t="n"/>
      <c r="C24" s="37">
        <f>IF(B24="","",Resumen!$C$6-B24)</f>
        <v/>
      </c>
      <c r="D24" s="30" t="n"/>
      <c r="E24" s="30" t="n"/>
      <c r="F24" s="33" t="n"/>
      <c r="G24" s="31">
        <f>IF(D24="","",IF(F24="Sí","Hecho",IF(C24="","Sin fecha",IF(C24&lt;TODAY(),"Atrasada",IF(C24=TODAY(),"Hoy","Pendiente")))))</f>
        <v/>
      </c>
      <c r="H24" s="21">
        <f>IF(OR(D24="",C24="",F24="Sí"),"",C24-TODAY())</f>
        <v/>
      </c>
      <c r="I24" s="37">
        <f>IF(OR(G24="Pendiente",G24="Hoy",G24="Atrasada"),C24,"")</f>
        <v/>
      </c>
    </row>
    <row r="25">
      <c r="B25" s="9" t="n"/>
      <c r="C25" s="37">
        <f>IF(B25="","",Resumen!$C$6-B25)</f>
        <v/>
      </c>
      <c r="D25" s="30" t="n"/>
      <c r="E25" s="30" t="n"/>
      <c r="F25" s="33" t="n"/>
      <c r="G25" s="31">
        <f>IF(D25="","",IF(F25="Sí","Hecho",IF(C25="","Sin fecha",IF(C25&lt;TODAY(),"Atrasada",IF(C25=TODAY(),"Hoy","Pendiente")))))</f>
        <v/>
      </c>
      <c r="H25" s="21">
        <f>IF(OR(D25="",C25="",F25="Sí"),"",C25-TODAY())</f>
        <v/>
      </c>
      <c r="I25" s="37">
        <f>IF(OR(G25="Pendiente",G25="Hoy",G25="Atrasada"),C25,"")</f>
        <v/>
      </c>
    </row>
    <row r="26">
      <c r="B26" s="9" t="n"/>
      <c r="C26" s="37">
        <f>IF(B26="","",Resumen!$C$6-B26)</f>
        <v/>
      </c>
      <c r="D26" s="30" t="n"/>
      <c r="E26" s="30" t="n"/>
      <c r="F26" s="33" t="n"/>
      <c r="G26" s="31">
        <f>IF(D26="","",IF(F26="Sí","Hecho",IF(C26="","Sin fecha",IF(C26&lt;TODAY(),"Atrasada",IF(C26=TODAY(),"Hoy","Pendiente")))))</f>
        <v/>
      </c>
      <c r="H26" s="21">
        <f>IF(OR(D26="",C26="",F26="Sí"),"",C26-TODAY())</f>
        <v/>
      </c>
      <c r="I26" s="37">
        <f>IF(OR(G26="Pendiente",G26="Hoy",G26="Atrasada"),C26,"")</f>
        <v/>
      </c>
    </row>
    <row r="27">
      <c r="B27" s="9" t="n"/>
      <c r="C27" s="37">
        <f>IF(B27="","",Resumen!$C$6-B27)</f>
        <v/>
      </c>
      <c r="D27" s="30" t="n"/>
      <c r="E27" s="30" t="n"/>
      <c r="F27" s="33" t="n"/>
      <c r="G27" s="31">
        <f>IF(D27="","",IF(F27="Sí","Hecho",IF(C27="","Sin fecha",IF(C27&lt;TODAY(),"Atrasada",IF(C27=TODAY(),"Hoy","Pendiente")))))</f>
        <v/>
      </c>
      <c r="H27" s="21">
        <f>IF(OR(D27="",C27="",F27="Sí"),"",C27-TODAY())</f>
        <v/>
      </c>
      <c r="I27" s="37">
        <f>IF(OR(G27="Pendiente",G27="Hoy",G27="Atrasada"),C27,"")</f>
        <v/>
      </c>
    </row>
    <row r="28">
      <c r="B28" s="9" t="n"/>
      <c r="C28" s="37">
        <f>IF(B28="","",Resumen!$C$6-B28)</f>
        <v/>
      </c>
      <c r="D28" s="30" t="n"/>
      <c r="E28" s="30" t="n"/>
      <c r="F28" s="33" t="n"/>
      <c r="G28" s="31">
        <f>IF(D28="","",IF(F28="Sí","Hecho",IF(C28="","Sin fecha",IF(C28&lt;TODAY(),"Atrasada",IF(C28=TODAY(),"Hoy","Pendiente")))))</f>
        <v/>
      </c>
      <c r="H28" s="21">
        <f>IF(OR(D28="",C28="",F28="Sí"),"",C28-TODAY())</f>
        <v/>
      </c>
      <c r="I28" s="37">
        <f>IF(OR(G28="Pendiente",G28="Hoy",G28="Atrasada"),C28,"")</f>
        <v/>
      </c>
    </row>
    <row r="29">
      <c r="B29" s="9" t="n"/>
      <c r="C29" s="37">
        <f>IF(B29="","",Resumen!$C$6-B29)</f>
        <v/>
      </c>
      <c r="D29" s="30" t="n"/>
      <c r="E29" s="30" t="n"/>
      <c r="F29" s="33" t="n"/>
      <c r="G29" s="31">
        <f>IF(D29="","",IF(F29="Sí","Hecho",IF(C29="","Sin fecha",IF(C29&lt;TODAY(),"Atrasada",IF(C29=TODAY(),"Hoy","Pendiente")))))</f>
        <v/>
      </c>
      <c r="H29" s="21">
        <f>IF(OR(D29="",C29="",F29="Sí"),"",C29-TODAY())</f>
        <v/>
      </c>
      <c r="I29" s="37">
        <f>IF(OR(G29="Pendiente",G29="Hoy",G29="Atrasada"),C29,"")</f>
        <v/>
      </c>
    </row>
    <row r="30">
      <c r="B30" s="9" t="n"/>
      <c r="C30" s="37">
        <f>IF(B30="","",Resumen!$C$6-B30)</f>
        <v/>
      </c>
      <c r="D30" s="30" t="n"/>
      <c r="E30" s="30" t="n"/>
      <c r="F30" s="33" t="n"/>
      <c r="G30" s="31">
        <f>IF(D30="","",IF(F30="Sí","Hecho",IF(C30="","Sin fecha",IF(C30&lt;TODAY(),"Atrasada",IF(C30=TODAY(),"Hoy","Pendiente")))))</f>
        <v/>
      </c>
      <c r="H30" s="21">
        <f>IF(OR(D30="",C30="",F30="Sí"),"",C30-TODAY())</f>
        <v/>
      </c>
      <c r="I30" s="37">
        <f>IF(OR(G30="Pendiente",G30="Hoy",G30="Atrasada"),C30,"")</f>
        <v/>
      </c>
    </row>
    <row r="31">
      <c r="B31" s="9" t="n"/>
      <c r="C31" s="37">
        <f>IF(B31="","",Resumen!$C$6-B31)</f>
        <v/>
      </c>
      <c r="D31" s="30" t="n"/>
      <c r="E31" s="30" t="n"/>
      <c r="F31" s="33" t="n"/>
      <c r="G31" s="31">
        <f>IF(D31="","",IF(F31="Sí","Hecho",IF(C31="","Sin fecha",IF(C31&lt;TODAY(),"Atrasada",IF(C31=TODAY(),"Hoy","Pendiente")))))</f>
        <v/>
      </c>
      <c r="H31" s="21">
        <f>IF(OR(D31="",C31="",F31="Sí"),"",C31-TODAY())</f>
        <v/>
      </c>
      <c r="I31" s="37">
        <f>IF(OR(G31="Pendiente",G31="Hoy",G31="Atrasada"),C31,"")</f>
        <v/>
      </c>
    </row>
    <row r="32">
      <c r="B32" s="9" t="n"/>
      <c r="C32" s="37">
        <f>IF(B32="","",Resumen!$C$6-B32)</f>
        <v/>
      </c>
      <c r="D32" s="30" t="n"/>
      <c r="E32" s="30" t="n"/>
      <c r="F32" s="33" t="n"/>
      <c r="G32" s="31">
        <f>IF(D32="","",IF(F32="Sí","Hecho",IF(C32="","Sin fecha",IF(C32&lt;TODAY(),"Atrasada",IF(C32=TODAY(),"Hoy","Pendiente")))))</f>
        <v/>
      </c>
      <c r="H32" s="21">
        <f>IF(OR(D32="",C32="",F32="Sí"),"",C32-TODAY())</f>
        <v/>
      </c>
      <c r="I32" s="37">
        <f>IF(OR(G32="Pendiente",G32="Hoy",G32="Atrasada"),C32,"")</f>
        <v/>
      </c>
    </row>
    <row r="33">
      <c r="B33" s="9" t="n"/>
      <c r="C33" s="37">
        <f>IF(B33="","",Resumen!$C$6-B33)</f>
        <v/>
      </c>
      <c r="D33" s="30" t="n"/>
      <c r="E33" s="30" t="n"/>
      <c r="F33" s="33" t="n"/>
      <c r="G33" s="31">
        <f>IF(D33="","",IF(F33="Sí","Hecho",IF(C33="","Sin fecha",IF(C33&lt;TODAY(),"Atrasada",IF(C33=TODAY(),"Hoy","Pendiente")))))</f>
        <v/>
      </c>
      <c r="H33" s="21">
        <f>IF(OR(D33="",C33="",F33="Sí"),"",C33-TODAY())</f>
        <v/>
      </c>
      <c r="I33" s="37">
        <f>IF(OR(G33="Pendiente",G33="Hoy",G33="Atrasada"),C33,"")</f>
        <v/>
      </c>
    </row>
    <row r="34">
      <c r="B34" s="9" t="n"/>
      <c r="C34" s="37">
        <f>IF(B34="","",Resumen!$C$6-B34)</f>
        <v/>
      </c>
      <c r="D34" s="30" t="n"/>
      <c r="E34" s="30" t="n"/>
      <c r="F34" s="33" t="n"/>
      <c r="G34" s="31">
        <f>IF(D34="","",IF(F34="Sí","Hecho",IF(C34="","Sin fecha",IF(C34&lt;TODAY(),"Atrasada",IF(C34=TODAY(),"Hoy","Pendiente")))))</f>
        <v/>
      </c>
      <c r="H34" s="21">
        <f>IF(OR(D34="",C34="",F34="Sí"),"",C34-TODAY())</f>
        <v/>
      </c>
      <c r="I34" s="37">
        <f>IF(OR(G34="Pendiente",G34="Hoy",G34="Atrasada"),C34,"")</f>
        <v/>
      </c>
    </row>
    <row r="35">
      <c r="B35" s="9" t="n"/>
      <c r="C35" s="37">
        <f>IF(B35="","",Resumen!$C$6-B35)</f>
        <v/>
      </c>
      <c r="D35" s="30" t="n"/>
      <c r="E35" s="30" t="n"/>
      <c r="F35" s="33" t="n"/>
      <c r="G35" s="31">
        <f>IF(D35="","",IF(F35="Sí","Hecho",IF(C35="","Sin fecha",IF(C35&lt;TODAY(),"Atrasada",IF(C35=TODAY(),"Hoy","Pendiente")))))</f>
        <v/>
      </c>
      <c r="H35" s="21">
        <f>IF(OR(D35="",C35="",F35="Sí"),"",C35-TODAY())</f>
        <v/>
      </c>
      <c r="I35" s="37">
        <f>IF(OR(G35="Pendiente",G35="Hoy",G35="Atrasada"),C35,"")</f>
        <v/>
      </c>
    </row>
    <row r="36">
      <c r="B36" s="9" t="n"/>
      <c r="C36" s="37">
        <f>IF(B36="","",Resumen!$C$6-B36)</f>
        <v/>
      </c>
      <c r="D36" s="30" t="n"/>
      <c r="E36" s="30" t="n"/>
      <c r="F36" s="33" t="n"/>
      <c r="G36" s="31">
        <f>IF(D36="","",IF(F36="Sí","Hecho",IF(C36="","Sin fecha",IF(C36&lt;TODAY(),"Atrasada",IF(C36=TODAY(),"Hoy","Pendiente")))))</f>
        <v/>
      </c>
      <c r="H36" s="21">
        <f>IF(OR(D36="",C36="",F36="Sí"),"",C36-TODAY())</f>
        <v/>
      </c>
      <c r="I36" s="37">
        <f>IF(OR(G36="Pendiente",G36="Hoy",G36="Atrasada"),C36,"")</f>
        <v/>
      </c>
    </row>
    <row r="37">
      <c r="B37" s="9" t="n"/>
      <c r="C37" s="37">
        <f>IF(B37="","",Resumen!$C$6-B37)</f>
        <v/>
      </c>
      <c r="D37" s="30" t="n"/>
      <c r="E37" s="30" t="n"/>
      <c r="F37" s="33" t="n"/>
      <c r="G37" s="31">
        <f>IF(D37="","",IF(F37="Sí","Hecho",IF(C37="","Sin fecha",IF(C37&lt;TODAY(),"Atrasada",IF(C37=TODAY(),"Hoy","Pendiente")))))</f>
        <v/>
      </c>
      <c r="H37" s="21">
        <f>IF(OR(D37="",C37="",F37="Sí"),"",C37-TODAY())</f>
        <v/>
      </c>
      <c r="I37" s="37">
        <f>IF(OR(G37="Pendiente",G37="Hoy",G37="Atrasada"),C37,"")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3">
    <mergeCell ref="B3:I3"/>
    <mergeCell ref="B2:I2"/>
    <mergeCell ref="C5:D5"/>
  </mergeCells>
  <conditionalFormatting sqref="G8:G37">
    <cfRule type="cellIs" priority="1" operator="equal" dxfId="2">
      <formula>"Hecho"</formula>
    </cfRule>
    <cfRule type="cellIs" priority="2" operator="equal" dxfId="1">
      <formula>"Pendiente"</formula>
    </cfRule>
    <cfRule type="cellIs" priority="3" operator="equal" dxfId="4">
      <formula>"Hoy"</formula>
    </cfRule>
    <cfRule type="cellIs" priority="4" operator="equal" dxfId="0">
      <formula>"Atrasada"</formula>
    </cfRule>
  </conditionalFormatting>
  <dataValidations count="2">
    <dataValidation sqref="E8:E37" showDropDown="0" showInputMessage="0" showErrorMessage="0" allowBlank="1" type="list">
      <formula1>=Platos!$B$8:$B$19</formula1>
    </dataValidation>
    <dataValidation sqref="F8:F37" showDropDown="0" showInputMessage="0" showErrorMessage="0" allowBlank="1" type="list">
      <formula1>"Sí,No"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Cómo usar el menú y la compra de la cena de Navidad</t>
        </is>
      </c>
    </row>
    <row r="3">
      <c r="B3" s="3" t="inlineStr">
        <is>
          <t>Plantilla gratuita de Plantillas de Cálculo · plantillasdecalculo.com</t>
        </is>
      </c>
    </row>
    <row r="5">
      <c r="B5" s="4" t="inlineStr">
        <is>
          <t>CÓMO USARLA</t>
        </is>
      </c>
    </row>
    <row r="6" ht="30" customHeight="1">
      <c r="B6" s="38" t="inlineStr">
        <is>
          <t>1.  En Resumen rellena la fecha de la cena, los adultos, los niños, el margen de sobrante (por defecto 10 %) y tu presupuesto máximo.</t>
        </is>
      </c>
    </row>
    <row r="7" ht="30" customHeight="1">
      <c r="B7" s="38" t="inlineStr">
        <is>
          <t>2.  En Platos escribe un plato por fila (hasta 12) y elige su tipo en el desplegable. Si algún plato no lo toman todos, indica cuántos comensales.</t>
        </is>
      </c>
    </row>
    <row r="8" ht="30" customHeight="1">
      <c r="B8" s="38" t="inlineStr">
        <is>
          <t>3.  En Ingredientes añade una fila por ingrediente: elige el plato, escribe el ingrediente, la cantidad POR COMENSAL y su unidad (g, ml o ud).</t>
        </is>
      </c>
    </row>
    <row r="9" ht="30" customHeight="1">
      <c r="B9" s="38" t="inlineStr">
        <is>
          <t>4.  Escribe el precio por kg, litro o unidad según corresponda (g se compra en kg, ml en litros). Elige la tienda donde lo comprarás.</t>
        </is>
      </c>
    </row>
    <row r="10" ht="30" customHeight="1">
      <c r="B10" s="38" t="inlineStr">
        <is>
          <t>5.  La plantilla calcula sola la cantidad total a comprar (comensales x cantidad + margen) y el coste estimado. Las unidades se redondean hacia arriba.</t>
        </is>
      </c>
    </row>
    <row r="11" ht="30" customHeight="1">
      <c r="B11" s="38" t="inlineStr">
        <is>
          <t>6.  Al comprar, marca "Sí" en Comprado y, si quieres, anota el coste real del ticket: el coste vigente usa el real cuando existe.</t>
        </is>
      </c>
    </row>
    <row r="12" ht="30" customHeight="1">
      <c r="B12" s="38" t="inlineStr">
        <is>
          <t>7.  En Cronograma indica cuántos días antes de la cena haces cada tarea (0 = el mismo día) y marca "Sí" cuando la termines.</t>
        </is>
      </c>
    </row>
    <row r="13" ht="30" customHeight="1">
      <c r="B13" s="38" t="inlineStr">
        <is>
          <t>8.  Revisa el Resumen: coste por comensal, disponible, % comprado, lista por tienda, tareas atrasadas y la próxima tarea.</t>
        </is>
      </c>
    </row>
    <row r="15">
      <c r="B15" s="4" t="inlineStr">
        <is>
          <t>CONSEJOS</t>
        </is>
      </c>
    </row>
    <row r="16" ht="30" customHeight="1">
      <c r="B16" s="38" t="inlineStr">
        <is>
          <t>•  Los platos, cantidades y precios de ejemplo son ficticios y orientativos: cámbialos por tus recetas y tus precios reales.</t>
        </is>
      </c>
    </row>
    <row r="17" ht="30" customHeight="1">
      <c r="B17" s="38" t="inlineStr">
        <is>
          <t>•  Si una cena es solo de adultos, deja los niños en 0; si hay platos infantiles, crea un plato y limita sus comensales.</t>
        </is>
      </c>
    </row>
    <row r="18" ht="30" customHeight="1">
      <c r="B18" s="38" t="inlineStr">
        <is>
          <t>•  Un ingrediente con cantidad "ud" (por ejemplo, 0,2 botellas por comensal) se redondea siempre al entero superior.</t>
        </is>
      </c>
    </row>
    <row r="19" ht="30" customHeight="1">
      <c r="B19" s="38" t="inlineStr">
        <is>
          <t>•  Las hojas están protegidas sin contraseña: solo se editan las celdas crema (Revisión &gt; Desproteger hoja para personalizar).</t>
        </is>
      </c>
    </row>
    <row r="20" ht="30" customHeight="1">
      <c r="B20" s="38" t="inlineStr">
        <is>
          <t>•  Para más de 12 platos, 40 ingredientes o 30 tareas, desprotege la hoja, copia la última fila y amplía los rangos de las fórmulas.</t>
        </is>
      </c>
    </row>
    <row r="22">
      <c r="B22" s="28" t="inlineStr">
        <is>
          <t>Las celdas con fondo crema y texto azul son para rellenar; las verdes se calculan solas.</t>
        </is>
      </c>
    </row>
    <row r="24" ht="44" customHeight="1">
      <c r="B24" s="39" t="inlineStr">
        <is>
          <t>Las cantidades por comensal y los precios son orientativos. Revisa las alergias e intolerancias de tus invitados y las indicaciones de conservación y cocinado de los alimentos.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8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Tipo</t>
        </is>
      </c>
      <c r="B1" t="inlineStr">
        <is>
          <t>Unidad</t>
        </is>
      </c>
      <c r="C1" t="inlineStr">
        <is>
          <t>Tienda</t>
        </is>
      </c>
      <c r="D1" t="inlineStr">
        <is>
          <t>Sí/No</t>
        </is>
      </c>
    </row>
    <row r="2">
      <c r="A2" t="inlineStr">
        <is>
          <t>Aperitivo</t>
        </is>
      </c>
      <c r="B2" t="inlineStr">
        <is>
          <t>g</t>
        </is>
      </c>
      <c r="C2" t="inlineStr">
        <is>
          <t>Supermercado</t>
        </is>
      </c>
      <c r="D2" t="inlineStr">
        <is>
          <t>Sí</t>
        </is>
      </c>
    </row>
    <row r="3">
      <c r="A3" t="inlineStr">
        <is>
          <t>Entrante</t>
        </is>
      </c>
      <c r="B3" t="inlineStr">
        <is>
          <t>ml</t>
        </is>
      </c>
      <c r="C3" t="inlineStr">
        <is>
          <t>Carnicería</t>
        </is>
      </c>
      <c r="D3" t="inlineStr">
        <is>
          <t>No</t>
        </is>
      </c>
    </row>
    <row r="4">
      <c r="A4" t="inlineStr">
        <is>
          <t>Primer plato</t>
        </is>
      </c>
      <c r="B4" t="inlineStr">
        <is>
          <t>ud</t>
        </is>
      </c>
      <c r="C4" t="inlineStr">
        <is>
          <t>Pescadería</t>
        </is>
      </c>
    </row>
    <row r="5">
      <c r="A5" t="inlineStr">
        <is>
          <t>Plato principal</t>
        </is>
      </c>
      <c r="C5" t="inlineStr">
        <is>
          <t>Frutería</t>
        </is>
      </c>
    </row>
    <row r="6">
      <c r="A6" t="inlineStr">
        <is>
          <t>Postre</t>
        </is>
      </c>
      <c r="C6" t="inlineStr">
        <is>
          <t>Bodega</t>
        </is>
      </c>
    </row>
    <row r="7">
      <c r="A7" t="inlineStr">
        <is>
          <t>Bebidas</t>
        </is>
      </c>
      <c r="C7" t="inlineStr">
        <is>
          <t>Panadería</t>
        </is>
      </c>
    </row>
    <row r="8">
      <c r="A8" t="inlineStr">
        <is>
          <t>Otros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2026-10-02T13:07:36Z</dcterms:created>
  <dcterms:modified xmlns:dcterms="http://purl.org/dc/terms/" xmlns:xsi="http://www.w3.org/2001/XMLSchema-instance" xsi:type="dcterms:W3CDTF">2026-10-02T13:07:36Z</dcterms:modified>
</cp:coreProperties>
</file>