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Asignaturas" sheetId="2" state="visible" r:id="rId2"/>
    <sheet xmlns:r="http://schemas.openxmlformats.org/officeDocument/2006/relationships" name="Cursos" sheetId="3" state="visible" r:id="rId3"/>
    <sheet xmlns:r="http://schemas.openxmlformats.org/officeDocument/2006/relationships" name="Escalas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0.0000000"/>
    <numFmt numFmtId="166" formatCode="0.0%"/>
    <numFmt numFmtId="167" formatCode="+0.00;-0.00;0.00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12744A"/>
      <sz val="11"/>
    </font>
    <font>
      <name val="Arial"/>
      <b val="1"/>
      <color rgb="00FFFFFF"/>
      <sz val="10"/>
    </font>
    <font>
      <name val="Arial"/>
      <b val="1"/>
      <color rgb="00047857"/>
      <sz val="10"/>
    </font>
    <font>
      <name val="Arial"/>
      <i val="1"/>
      <color rgb="006B7280"/>
      <sz val="9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2" fillId="6" borderId="0" applyAlignment="1" pivotButton="0" quotePrefix="0" xfId="0">
      <alignment horizontal="center" vertical="center" wrapText="1"/>
    </xf>
    <xf numFmtId="2" fontId="13" fillId="6" borderId="0" applyAlignment="1" pivotButton="0" quotePrefix="0" xfId="0">
      <alignment horizontal="center" vertical="center"/>
    </xf>
    <xf numFmtId="164" fontId="13" fillId="6" borderId="0" applyAlignment="1" pivotButton="0" quotePrefix="0" xfId="0">
      <alignment horizontal="center" vertical="center"/>
    </xf>
    <xf numFmtId="166" fontId="13" fillId="6" borderId="0" applyAlignment="1" pivotButton="0" quotePrefix="0" xfId="0">
      <alignment horizontal="center" vertical="center"/>
    </xf>
    <xf numFmtId="1" fontId="13" fillId="6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7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164" fontId="7" fillId="0" borderId="1" applyAlignment="1" pivotButton="0" quotePrefix="0" xfId="0">
      <alignment horizontal="center" vertical="center"/>
    </xf>
    <xf numFmtId="167" fontId="7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center"/>
    </xf>
    <xf numFmtId="0" fontId="9" fillId="0" borderId="1" applyAlignment="1" pivotButton="0" quotePrefix="0" xfId="0">
      <alignment horizontal="center" vertical="center"/>
    </xf>
    <xf numFmtId="164" fontId="9" fillId="0" borderId="1" applyAlignment="1" pivotButton="0" quotePrefix="0" xfId="0">
      <alignment horizontal="center" vertical="center"/>
    </xf>
    <xf numFmtId="165" fontId="9" fillId="0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8" fillId="0" borderId="0" applyAlignment="1" pivotButton="0" quotePrefix="0" xfId="0">
      <alignment horizontal="center" wrapText="1"/>
    </xf>
    <xf numFmtId="0" fontId="4" fillId="3" borderId="1" applyAlignment="1" applyProtection="1" pivotButton="0" quotePrefix="0" xfId="0">
      <alignment vertical="center"/>
      <protection locked="0" hidden="0"/>
    </xf>
    <xf numFmtId="164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5" fontId="10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vertical="center"/>
    </xf>
    <xf numFmtId="164" fontId="11" fillId="5" borderId="1" applyAlignment="1" pivotButton="0" quotePrefix="0" xfId="0">
      <alignment vertical="center"/>
    </xf>
    <xf numFmtId="2" fontId="11" fillId="5" borderId="1" applyAlignment="1" pivotButton="0" quotePrefix="0" xfId="0">
      <alignment vertical="center"/>
    </xf>
    <xf numFmtId="0" fontId="3" fillId="0" borderId="1" applyAlignment="1" pivotButton="0" quotePrefix="0" xfId="0">
      <alignment horizontal="center" vertical="center"/>
    </xf>
    <xf numFmtId="9" fontId="9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2" fontId="9" fillId="0" borderId="1" applyAlignment="1" pivotButton="0" quotePrefix="0" xfId="0">
      <alignment horizontal="center" vertical="center"/>
    </xf>
    <xf numFmtId="1" fontId="9" fillId="0" borderId="1" applyAlignment="1" pivotButton="0" quotePrefix="0" xfId="0">
      <alignment horizontal="center" vertical="center"/>
    </xf>
    <xf numFmtId="9" fontId="11" fillId="5" borderId="1" applyAlignment="1" pivotButton="0" quotePrefix="0" xfId="0">
      <alignment vertical="center"/>
    </xf>
    <xf numFmtId="1" fontId="11" fillId="5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1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ECTS superados y por superar por curso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'Cursos'!D7</f>
            </strRef>
          </tx>
          <spPr>
            <a:ln xmlns:a="http://schemas.openxmlformats.org/drawingml/2006/main">
              <a:prstDash val="solid"/>
            </a:ln>
          </spPr>
          <cat>
            <numRef>
              <f>'Cursos'!$B$8:$B$13</f>
            </numRef>
          </cat>
          <val>
            <numRef>
              <f>'Cursos'!$D$8:$D$13</f>
            </numRef>
          </val>
        </ser>
        <ser>
          <idx val="1"/>
          <order val="1"/>
          <tx>
            <strRef>
              <f>'Cursos'!E7</f>
            </strRef>
          </tx>
          <spPr>
            <a:ln xmlns:a="http://schemas.openxmlformats.org/drawingml/2006/main">
              <a:prstDash val="solid"/>
            </a:ln>
          </spPr>
          <cat>
            <numRef>
              <f>'Cursos'!$B$8:$B$13</f>
            </numRef>
          </cat>
          <val>
            <numRef>
              <f>'Cursos'!$E$8:$E$13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21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3" customWidth="1" min="9" max="9"/>
    <col hidden="1" width="13" customWidth="1" min="10" max="10"/>
  </cols>
  <sheetData>
    <row r="2" ht="34" customHeight="1">
      <c r="B2" s="1" t="inlineStr">
        <is>
          <t>Panel del expediente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Resumen automático: nota media ponderada por créditos, créditos superados y nota que necesitas para tu objetivo.</t>
        </is>
      </c>
    </row>
    <row r="5" ht="28" customHeight="1">
      <c r="B5" s="4" t="inlineStr">
        <is>
          <t>NOTA MEDIA (0-10)</t>
        </is>
      </c>
      <c r="C5" s="4" t="inlineStr">
        <is>
          <t>MEDIA 0-4 (ORIENTATIVA)</t>
        </is>
      </c>
      <c r="E5" s="4" t="inlineStr">
        <is>
          <t>ECTS SUPERADOS</t>
        </is>
      </c>
      <c r="G5" s="4" t="inlineStr">
        <is>
          <t>% DEL TÍTULO SUPERADO</t>
        </is>
      </c>
    </row>
    <row r="6" ht="36" customHeight="1">
      <c r="B6" s="5">
        <f>IFERROR(SUM(Asignaturas!$M$8:$M$67)/SUM(Asignaturas!$L$8:$L$67),"-")</f>
        <v/>
      </c>
      <c r="C6" s="5">
        <f>IFERROR(SUM(Asignaturas!$N$8:$N$67)/SUM(Asignaturas!$L$8:$L$67),"-")</f>
        <v/>
      </c>
      <c r="E6" s="6">
        <f>SUM(Asignaturas!$K$8:$K$67)</f>
        <v/>
      </c>
      <c r="G6" s="7">
        <f>IF(Escalas!D6&gt;0,E6/Escalas!D6,0)</f>
        <v/>
      </c>
    </row>
    <row r="8" ht="28" customHeight="1">
      <c r="B8" s="4" t="inlineStr">
        <is>
          <t>ASIGNATURAS SUSPENSAS</t>
        </is>
      </c>
      <c r="C8" s="4" t="inlineStr">
        <is>
          <t>ASIGNATURAS PENDIENTES</t>
        </is>
      </c>
      <c r="E8" s="4" t="inlineStr">
        <is>
          <t>ECTS POR SUPERAR (TÍTULO)</t>
        </is>
      </c>
      <c r="G8" s="4" t="inlineStr">
        <is>
          <t>NOTA NECESARIA EN LO QUE FALTA</t>
        </is>
      </c>
    </row>
    <row r="9" ht="36" customHeight="1">
      <c r="B9" s="8">
        <f>COUNTIF(Asignaturas!$H$8:$H$67,"Suspensa")</f>
        <v/>
      </c>
      <c r="C9" s="8">
        <f>COUNTIF(Asignaturas!$H$8:$H$67,"Pendiente")</f>
        <v/>
      </c>
      <c r="E9" s="6">
        <f>MAX(0,Escalas!D6-E6)</f>
        <v/>
      </c>
      <c r="G9" s="5">
        <f>IF(Escalas!D6-SUM(Asignaturas!$L$8:$L$67)&lt;=0,"-",IF((Escalas!D8*Escalas!D6-SUM(Asignaturas!$M$8:$M$67))/(Escalas!D6-SUM(Asignaturas!$L$8:$L$67))&gt;10,"Inalcanzable",MAX(0,ROUND((Escalas!D8*Escalas!D6-SUM(Asignaturas!$M$8:$M$67))/(Escalas!D6-SUM(Asignaturas!$L$8:$L$67)),2))))</f>
        <v/>
      </c>
    </row>
    <row r="11">
      <c r="B11" s="9" t="inlineStr">
        <is>
          <t>Calificación media del expediente:</t>
        </is>
      </c>
      <c r="D11" s="10">
        <f>IFERROR(VLOOKUP(B6,Escalas!$B$12:$E$16,2,TRUE),"-")</f>
        <v/>
      </c>
      <c r="E11" s="11" t="inlineStr">
        <is>
          <t>Objetivo:</t>
        </is>
      </c>
      <c r="F11" s="12">
        <f>Escalas!D8</f>
        <v/>
      </c>
      <c r="G11" s="11" t="inlineStr">
        <is>
          <t>Diferencia:</t>
        </is>
      </c>
      <c r="H11" s="13">
        <f>IF(ISNUMBER(B6),B6-Escalas!D8,"-")</f>
        <v/>
      </c>
    </row>
    <row r="13">
      <c r="B13" s="14" t="inlineStr">
        <is>
          <t>TUS 5 MEJORES NOTAS</t>
        </is>
      </c>
    </row>
    <row r="14" ht="26" customHeight="1">
      <c r="B14" s="15" t="inlineStr">
        <is>
          <t>Asignatura</t>
        </is>
      </c>
      <c r="C14" s="15" t="inlineStr">
        <is>
          <t>Curso</t>
        </is>
      </c>
      <c r="D14" s="15" t="inlineStr">
        <is>
          <t>ECTS</t>
        </is>
      </c>
      <c r="E14" s="15" t="inlineStr">
        <is>
          <t>Nota</t>
        </is>
      </c>
      <c r="F14" s="15" t="inlineStr">
        <is>
          <t>Calificación</t>
        </is>
      </c>
      <c r="G14" s="15" t="inlineStr">
        <is>
          <t>Estado</t>
        </is>
      </c>
    </row>
    <row r="15">
      <c r="B15" s="16">
        <f>IF($J15="","",INDEX(Asignaturas!$B$8:$B$67,MATCH($J15,Asignaturas!$O$8:$O$67,0)))</f>
        <v/>
      </c>
      <c r="C15" s="17">
        <f>IF($J15="","",INDEX(Asignaturas!$E$8:$E$67,MATCH($J15,Asignaturas!$O$8:$O$67,0)))</f>
        <v/>
      </c>
      <c r="D15" s="18">
        <f>IF($J15="","",INDEX(Asignaturas!$C$8:$C$67,MATCH($J15,Asignaturas!$O$8:$O$67,0)))</f>
        <v/>
      </c>
      <c r="E15" s="18">
        <f>IF($J15="","",INDEX(Asignaturas!$D$8:$D$67,MATCH($J15,Asignaturas!$O$8:$O$67,0)))</f>
        <v/>
      </c>
      <c r="F15" s="17">
        <f>IF($J15="","",INDEX(Asignaturas!$I$8:$I$67,MATCH($J15,Asignaturas!$O$8:$O$67,0)))</f>
        <v/>
      </c>
      <c r="G15" s="17">
        <f>IF($J15="","",INDEX(Asignaturas!$H$8:$H$67,MATCH($J15,Asignaturas!$O$8:$O$67,0)))</f>
        <v/>
      </c>
      <c r="J15" s="19">
        <f>IFERROR(LARGE(Asignaturas!$O$8:$O$67,1),"")</f>
        <v/>
      </c>
    </row>
    <row r="16">
      <c r="B16" s="16">
        <f>IF($J16="","",INDEX(Asignaturas!$B$8:$B$67,MATCH($J16,Asignaturas!$O$8:$O$67,0)))</f>
        <v/>
      </c>
      <c r="C16" s="17">
        <f>IF($J16="","",INDEX(Asignaturas!$E$8:$E$67,MATCH($J16,Asignaturas!$O$8:$O$67,0)))</f>
        <v/>
      </c>
      <c r="D16" s="18">
        <f>IF($J16="","",INDEX(Asignaturas!$C$8:$C$67,MATCH($J16,Asignaturas!$O$8:$O$67,0)))</f>
        <v/>
      </c>
      <c r="E16" s="18">
        <f>IF($J16="","",INDEX(Asignaturas!$D$8:$D$67,MATCH($J16,Asignaturas!$O$8:$O$67,0)))</f>
        <v/>
      </c>
      <c r="F16" s="17">
        <f>IF($J16="","",INDEX(Asignaturas!$I$8:$I$67,MATCH($J16,Asignaturas!$O$8:$O$67,0)))</f>
        <v/>
      </c>
      <c r="G16" s="17">
        <f>IF($J16="","",INDEX(Asignaturas!$H$8:$H$67,MATCH($J16,Asignaturas!$O$8:$O$67,0)))</f>
        <v/>
      </c>
      <c r="J16" s="19">
        <f>IFERROR(LARGE(Asignaturas!$O$8:$O$67,2),"")</f>
        <v/>
      </c>
    </row>
    <row r="17">
      <c r="B17" s="16">
        <f>IF($J17="","",INDEX(Asignaturas!$B$8:$B$67,MATCH($J17,Asignaturas!$O$8:$O$67,0)))</f>
        <v/>
      </c>
      <c r="C17" s="17">
        <f>IF($J17="","",INDEX(Asignaturas!$E$8:$E$67,MATCH($J17,Asignaturas!$O$8:$O$67,0)))</f>
        <v/>
      </c>
      <c r="D17" s="18">
        <f>IF($J17="","",INDEX(Asignaturas!$C$8:$C$67,MATCH($J17,Asignaturas!$O$8:$O$67,0)))</f>
        <v/>
      </c>
      <c r="E17" s="18">
        <f>IF($J17="","",INDEX(Asignaturas!$D$8:$D$67,MATCH($J17,Asignaturas!$O$8:$O$67,0)))</f>
        <v/>
      </c>
      <c r="F17" s="17">
        <f>IF($J17="","",INDEX(Asignaturas!$I$8:$I$67,MATCH($J17,Asignaturas!$O$8:$O$67,0)))</f>
        <v/>
      </c>
      <c r="G17" s="17">
        <f>IF($J17="","",INDEX(Asignaturas!$H$8:$H$67,MATCH($J17,Asignaturas!$O$8:$O$67,0)))</f>
        <v/>
      </c>
      <c r="J17" s="19">
        <f>IFERROR(LARGE(Asignaturas!$O$8:$O$67,3),"")</f>
        <v/>
      </c>
    </row>
    <row r="18">
      <c r="B18" s="16">
        <f>IF($J18="","",INDEX(Asignaturas!$B$8:$B$67,MATCH($J18,Asignaturas!$O$8:$O$67,0)))</f>
        <v/>
      </c>
      <c r="C18" s="17">
        <f>IF($J18="","",INDEX(Asignaturas!$E$8:$E$67,MATCH($J18,Asignaturas!$O$8:$O$67,0)))</f>
        <v/>
      </c>
      <c r="D18" s="18">
        <f>IF($J18="","",INDEX(Asignaturas!$C$8:$C$67,MATCH($J18,Asignaturas!$O$8:$O$67,0)))</f>
        <v/>
      </c>
      <c r="E18" s="18">
        <f>IF($J18="","",INDEX(Asignaturas!$D$8:$D$67,MATCH($J18,Asignaturas!$O$8:$O$67,0)))</f>
        <v/>
      </c>
      <c r="F18" s="17">
        <f>IF($J18="","",INDEX(Asignaturas!$I$8:$I$67,MATCH($J18,Asignaturas!$O$8:$O$67,0)))</f>
        <v/>
      </c>
      <c r="G18" s="17">
        <f>IF($J18="","",INDEX(Asignaturas!$H$8:$H$67,MATCH($J18,Asignaturas!$O$8:$O$67,0)))</f>
        <v/>
      </c>
      <c r="J18" s="19">
        <f>IFERROR(LARGE(Asignaturas!$O$8:$O$67,4),"")</f>
        <v/>
      </c>
    </row>
    <row r="19">
      <c r="B19" s="16">
        <f>IF($J19="","",INDEX(Asignaturas!$B$8:$B$67,MATCH($J19,Asignaturas!$O$8:$O$67,0)))</f>
        <v/>
      </c>
      <c r="C19" s="17">
        <f>IF($J19="","",INDEX(Asignaturas!$E$8:$E$67,MATCH($J19,Asignaturas!$O$8:$O$67,0)))</f>
        <v/>
      </c>
      <c r="D19" s="18">
        <f>IF($J19="","",INDEX(Asignaturas!$C$8:$C$67,MATCH($J19,Asignaturas!$O$8:$O$67,0)))</f>
        <v/>
      </c>
      <c r="E19" s="18">
        <f>IF($J19="","",INDEX(Asignaturas!$D$8:$D$67,MATCH($J19,Asignaturas!$O$8:$O$67,0)))</f>
        <v/>
      </c>
      <c r="F19" s="17">
        <f>IF($J19="","",INDEX(Asignaturas!$I$8:$I$67,MATCH($J19,Asignaturas!$O$8:$O$67,0)))</f>
        <v/>
      </c>
      <c r="G19" s="17">
        <f>IF($J19="","",INDEX(Asignaturas!$H$8:$H$67,MATCH($J19,Asignaturas!$O$8:$O$67,0)))</f>
        <v/>
      </c>
      <c r="J19" s="19">
        <f>IFERROR(LARGE(Asignaturas!$O$8:$O$67,5),"")</f>
        <v/>
      </c>
    </row>
    <row r="21">
      <c r="B21" s="14" t="inlineStr">
        <is>
          <t>CRÉDITOS SUPERADOS Y POR SUPERAR, POR CURSO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4">
    <mergeCell ref="E6:F6"/>
    <mergeCell ref="C6:D6"/>
    <mergeCell ref="G9:H9"/>
    <mergeCell ref="C5:D5"/>
    <mergeCell ref="G5:H5"/>
    <mergeCell ref="E5:F5"/>
    <mergeCell ref="B2:H2"/>
    <mergeCell ref="G6:H6"/>
    <mergeCell ref="C9:D9"/>
    <mergeCell ref="G8:H8"/>
    <mergeCell ref="B3:H3"/>
    <mergeCell ref="E9:F9"/>
    <mergeCell ref="E8:F8"/>
    <mergeCell ref="C8:D8"/>
  </mergeCells>
  <conditionalFormatting sqref="H11">
    <cfRule type="expression" priority="1" dxfId="0">
      <formula>AND(ISNUMBER($H$11),$H$11&lt;0)</formula>
    </cfRule>
    <cfRule type="expression" priority="2" dxfId="1">
      <formula>AND(ISNUMBER($H$11),$H$11&gt;=0)</formula>
    </cfRule>
  </conditionalFormatting>
  <conditionalFormatting sqref="B9">
    <cfRule type="expression" priority="3" dxfId="0">
      <formula>$B$9&gt;0</formula>
    </cfRule>
  </conditionalFormatting>
  <conditionalFormatting sqref="E15:E19">
    <cfRule type="dataBar" priority="4">
      <dataBar>
        <cfvo type="num" val="0"/>
        <cfvo type="max"/>
        <color rgb="0010B981"/>
      </dataBar>
    </cfRule>
  </conditionalFormatting>
  <conditionalFormatting sqref="G15:G19">
    <cfRule type="cellIs" priority="5" operator="equal" dxfId="1">
      <formula>"Superada"</formula>
    </cfRule>
    <cfRule type="cellIs" priority="6" operator="equal" dxfId="0">
      <formula>"Suspensa"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O6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0" customWidth="1" min="2" max="2"/>
    <col width="8" customWidth="1" min="3" max="3"/>
    <col width="10" customWidth="1" min="4" max="4"/>
    <col width="8" customWidth="1" min="5" max="5"/>
    <col width="12" customWidth="1" min="6" max="6"/>
    <col width="18" customWidth="1" min="7" max="7"/>
    <col width="12" customWidth="1" min="8" max="8"/>
    <col width="15" customWidth="1" min="9" max="9"/>
    <col width="11" customWidth="1" min="10" max="10"/>
    <col width="11" customWidth="1" min="11" max="11"/>
    <col width="12" customWidth="1" min="12" max="12"/>
    <col width="12" customWidth="1" min="13" max="13"/>
    <col width="11" customWidth="1" min="14" max="14"/>
    <col hidden="1" width="8" customWidth="1" min="15" max="15"/>
  </cols>
  <sheetData>
    <row r="2" ht="34" customHeight="1">
      <c r="B2" s="1" t="inlineStr">
        <is>
          <t>Expediente: asignaturas, créditos y notas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Rellena las celdas crema (asignatura, ECTS, nota, curso, cuatrimestre y tipo). Deja la nota vacía si aún no se ha calificado.</t>
        </is>
      </c>
    </row>
    <row r="5">
      <c r="B5" s="11" t="inlineStr">
        <is>
          <t>Nota de aprobado:</t>
        </is>
      </c>
      <c r="C5" s="12">
        <f>Escalas!D5</f>
        <v/>
      </c>
      <c r="E5" s="9" t="inlineStr">
        <is>
          <t>¿Cuentan las suspensas?</t>
        </is>
      </c>
      <c r="H5" s="10">
        <f>Escalas!D7</f>
        <v/>
      </c>
      <c r="I5" s="20" t="inlineStr">
        <is>
          <t>(se cambian en «Escalas»)</t>
        </is>
      </c>
    </row>
    <row r="7" ht="42" customHeight="1">
      <c r="B7" s="15" t="inlineStr">
        <is>
          <t>Asignatura</t>
        </is>
      </c>
      <c r="C7" s="15" t="inlineStr">
        <is>
          <t>ECTS</t>
        </is>
      </c>
      <c r="D7" s="15" t="inlineStr">
        <is>
          <t>Nota (0-10)</t>
        </is>
      </c>
      <c r="E7" s="15" t="inlineStr">
        <is>
          <t>Curso</t>
        </is>
      </c>
      <c r="F7" s="15" t="inlineStr">
        <is>
          <t>Cuatrimestre</t>
        </is>
      </c>
      <c r="G7" s="15" t="inlineStr">
        <is>
          <t>Tipo</t>
        </is>
      </c>
      <c r="H7" s="15" t="inlineStr">
        <is>
          <t>Estado</t>
        </is>
      </c>
      <c r="I7" s="15" t="inlineStr">
        <is>
          <t>Calificación</t>
        </is>
      </c>
      <c r="J7" s="15" t="inlineStr">
        <is>
          <t>Equiv. 0-4</t>
        </is>
      </c>
      <c r="K7" s="15" t="inlineStr">
        <is>
          <t>ECTS superados</t>
        </is>
      </c>
      <c r="L7" s="15" t="inlineStr">
        <is>
          <t>ECTS en la media</t>
        </is>
      </c>
      <c r="M7" s="15" t="inlineStr">
        <is>
          <t>Puntos (ECTS × nota)</t>
        </is>
      </c>
      <c r="N7" s="15" t="inlineStr">
        <is>
          <t>Puntos 0-4</t>
        </is>
      </c>
      <c r="O7" s="21" t="inlineStr">
        <is>
          <t>Orden (aux.)</t>
        </is>
      </c>
    </row>
    <row r="8">
      <c r="B8" s="22" t="inlineStr">
        <is>
          <t>Matemáticas I</t>
        </is>
      </c>
      <c r="C8" s="23" t="n">
        <v>6</v>
      </c>
      <c r="D8" s="23" t="n">
        <v>7.2</v>
      </c>
      <c r="E8" s="24" t="inlineStr">
        <is>
          <t>1º</t>
        </is>
      </c>
      <c r="F8" s="24" t="inlineStr">
        <is>
          <t>1C</t>
        </is>
      </c>
      <c r="G8" s="24" t="inlineStr">
        <is>
          <t>Formación básica</t>
        </is>
      </c>
      <c r="H8" s="17">
        <f>IF(OR(B8="",C8=""),"",IF(D8="","Pendiente",IF(D8&gt;=Escalas!$D$5,"Superada","Suspensa")))</f>
        <v/>
      </c>
      <c r="I8" s="17">
        <f>IF(OR(H8="",D8=""),"",VLOOKUP(D8,Escalas!$B$12:$E$16,2,TRUE))</f>
        <v/>
      </c>
      <c r="J8" s="18">
        <f>IF(OR(H8="",D8=""),"",VLOOKUP(D8,Escalas!$B$12:$E$16,3,TRUE))</f>
        <v/>
      </c>
      <c r="K8" s="18">
        <f>IF(H8="","",IF(H8="Superada",C8,0))</f>
        <v/>
      </c>
      <c r="L8" s="18">
        <f>IF(OR(H8="",D8=""),"",IF(OR(H8="Superada",Escalas!$D$7="Sí"),C8,0))</f>
        <v/>
      </c>
      <c r="M8" s="18">
        <f>IF(L8="","",L8*D8)</f>
        <v/>
      </c>
      <c r="N8" s="18">
        <f>IF(L8="","",L8*J8)</f>
        <v/>
      </c>
      <c r="O8" s="25">
        <f>IF(D8="","",D8+(1000-ROW())/10000000)</f>
        <v/>
      </c>
    </row>
    <row r="9">
      <c r="B9" s="22" t="inlineStr">
        <is>
          <t>Introducción a la Economía</t>
        </is>
      </c>
      <c r="C9" s="23" t="n">
        <v>6</v>
      </c>
      <c r="D9" s="23" t="n">
        <v>8.1</v>
      </c>
      <c r="E9" s="24" t="inlineStr">
        <is>
          <t>1º</t>
        </is>
      </c>
      <c r="F9" s="24" t="inlineStr">
        <is>
          <t>1C</t>
        </is>
      </c>
      <c r="G9" s="24" t="inlineStr">
        <is>
          <t>Formación básica</t>
        </is>
      </c>
      <c r="H9" s="17">
        <f>IF(OR(B9="",C9=""),"",IF(D9="","Pendiente",IF(D9&gt;=Escalas!$D$5,"Superada","Suspensa")))</f>
        <v/>
      </c>
      <c r="I9" s="17">
        <f>IF(OR(H9="",D9=""),"",VLOOKUP(D9,Escalas!$B$12:$E$16,2,TRUE))</f>
        <v/>
      </c>
      <c r="J9" s="18">
        <f>IF(OR(H9="",D9=""),"",VLOOKUP(D9,Escalas!$B$12:$E$16,3,TRUE))</f>
        <v/>
      </c>
      <c r="K9" s="18">
        <f>IF(H9="","",IF(H9="Superada",C9,0))</f>
        <v/>
      </c>
      <c r="L9" s="18">
        <f>IF(OR(H9="",D9=""),"",IF(OR(H9="Superada",Escalas!$D$7="Sí"),C9,0))</f>
        <v/>
      </c>
      <c r="M9" s="18">
        <f>IF(L9="","",L9*D9)</f>
        <v/>
      </c>
      <c r="N9" s="18">
        <f>IF(L9="","",L9*J9)</f>
        <v/>
      </c>
      <c r="O9" s="25">
        <f>IF(D9="","",D9+(1000-ROW())/10000000)</f>
        <v/>
      </c>
    </row>
    <row r="10">
      <c r="B10" s="22" t="inlineStr">
        <is>
          <t>Contabilidad Financiera</t>
        </is>
      </c>
      <c r="C10" s="23" t="n">
        <v>6</v>
      </c>
      <c r="D10" s="23" t="n">
        <v>6.4</v>
      </c>
      <c r="E10" s="24" t="inlineStr">
        <is>
          <t>1º</t>
        </is>
      </c>
      <c r="F10" s="24" t="inlineStr">
        <is>
          <t>1C</t>
        </is>
      </c>
      <c r="G10" s="24" t="inlineStr">
        <is>
          <t>Formación básica</t>
        </is>
      </c>
      <c r="H10" s="17">
        <f>IF(OR(B10="",C10=""),"",IF(D10="","Pendiente",IF(D10&gt;=Escalas!$D$5,"Superada","Suspensa")))</f>
        <v/>
      </c>
      <c r="I10" s="17">
        <f>IF(OR(H10="",D10=""),"",VLOOKUP(D10,Escalas!$B$12:$E$16,2,TRUE))</f>
        <v/>
      </c>
      <c r="J10" s="18">
        <f>IF(OR(H10="",D10=""),"",VLOOKUP(D10,Escalas!$B$12:$E$16,3,TRUE))</f>
        <v/>
      </c>
      <c r="K10" s="18">
        <f>IF(H10="","",IF(H10="Superada",C10,0))</f>
        <v/>
      </c>
      <c r="L10" s="18">
        <f>IF(OR(H10="",D10=""),"",IF(OR(H10="Superada",Escalas!$D$7="Sí"),C10,0))</f>
        <v/>
      </c>
      <c r="M10" s="18">
        <f>IF(L10="","",L10*D10)</f>
        <v/>
      </c>
      <c r="N10" s="18">
        <f>IF(L10="","",L10*J10)</f>
        <v/>
      </c>
      <c r="O10" s="25">
        <f>IF(D10="","",D10+(1000-ROW())/10000000)</f>
        <v/>
      </c>
    </row>
    <row r="11">
      <c r="B11" s="22" t="inlineStr">
        <is>
          <t>Fundamentos de Derecho</t>
        </is>
      </c>
      <c r="C11" s="23" t="n">
        <v>6</v>
      </c>
      <c r="D11" s="23" t="n">
        <v>5.6</v>
      </c>
      <c r="E11" s="24" t="inlineStr">
        <is>
          <t>1º</t>
        </is>
      </c>
      <c r="F11" s="24" t="inlineStr">
        <is>
          <t>1C</t>
        </is>
      </c>
      <c r="G11" s="24" t="inlineStr">
        <is>
          <t>Formación básica</t>
        </is>
      </c>
      <c r="H11" s="17">
        <f>IF(OR(B11="",C11=""),"",IF(D11="","Pendiente",IF(D11&gt;=Escalas!$D$5,"Superada","Suspensa")))</f>
        <v/>
      </c>
      <c r="I11" s="17">
        <f>IF(OR(H11="",D11=""),"",VLOOKUP(D11,Escalas!$B$12:$E$16,2,TRUE))</f>
        <v/>
      </c>
      <c r="J11" s="18">
        <f>IF(OR(H11="",D11=""),"",VLOOKUP(D11,Escalas!$B$12:$E$16,3,TRUE))</f>
        <v/>
      </c>
      <c r="K11" s="18">
        <f>IF(H11="","",IF(H11="Superada",C11,0))</f>
        <v/>
      </c>
      <c r="L11" s="18">
        <f>IF(OR(H11="",D11=""),"",IF(OR(H11="Superada",Escalas!$D$7="Sí"),C11,0))</f>
        <v/>
      </c>
      <c r="M11" s="18">
        <f>IF(L11="","",L11*D11)</f>
        <v/>
      </c>
      <c r="N11" s="18">
        <f>IF(L11="","",L11*J11)</f>
        <v/>
      </c>
      <c r="O11" s="25">
        <f>IF(D11="","",D11+(1000-ROW())/10000000)</f>
        <v/>
      </c>
    </row>
    <row r="12">
      <c r="B12" s="22" t="inlineStr">
        <is>
          <t>Estadística Descriptiva</t>
        </is>
      </c>
      <c r="C12" s="23" t="n">
        <v>6</v>
      </c>
      <c r="D12" s="23" t="n">
        <v>4.3</v>
      </c>
      <c r="E12" s="24" t="inlineStr">
        <is>
          <t>1º</t>
        </is>
      </c>
      <c r="F12" s="24" t="inlineStr">
        <is>
          <t>1C</t>
        </is>
      </c>
      <c r="G12" s="24" t="inlineStr">
        <is>
          <t>Formación básica</t>
        </is>
      </c>
      <c r="H12" s="17">
        <f>IF(OR(B12="",C12=""),"",IF(D12="","Pendiente",IF(D12&gt;=Escalas!$D$5,"Superada","Suspensa")))</f>
        <v/>
      </c>
      <c r="I12" s="17">
        <f>IF(OR(H12="",D12=""),"",VLOOKUP(D12,Escalas!$B$12:$E$16,2,TRUE))</f>
        <v/>
      </c>
      <c r="J12" s="18">
        <f>IF(OR(H12="",D12=""),"",VLOOKUP(D12,Escalas!$B$12:$E$16,3,TRUE))</f>
        <v/>
      </c>
      <c r="K12" s="18">
        <f>IF(H12="","",IF(H12="Superada",C12,0))</f>
        <v/>
      </c>
      <c r="L12" s="18">
        <f>IF(OR(H12="",D12=""),"",IF(OR(H12="Superada",Escalas!$D$7="Sí"),C12,0))</f>
        <v/>
      </c>
      <c r="M12" s="18">
        <f>IF(L12="","",L12*D12)</f>
        <v/>
      </c>
      <c r="N12" s="18">
        <f>IF(L12="","",L12*J12)</f>
        <v/>
      </c>
      <c r="O12" s="25">
        <f>IF(D12="","",D12+(1000-ROW())/10000000)</f>
        <v/>
      </c>
    </row>
    <row r="13">
      <c r="B13" s="22" t="inlineStr">
        <is>
          <t>Historia Económica</t>
        </is>
      </c>
      <c r="C13" s="23" t="n">
        <v>6</v>
      </c>
      <c r="D13" s="23" t="n">
        <v>8.9</v>
      </c>
      <c r="E13" s="24" t="inlineStr">
        <is>
          <t>1º</t>
        </is>
      </c>
      <c r="F13" s="24" t="inlineStr">
        <is>
          <t>2C</t>
        </is>
      </c>
      <c r="G13" s="24" t="inlineStr">
        <is>
          <t>Formación básica</t>
        </is>
      </c>
      <c r="H13" s="17">
        <f>IF(OR(B13="",C13=""),"",IF(D13="","Pendiente",IF(D13&gt;=Escalas!$D$5,"Superada","Suspensa")))</f>
        <v/>
      </c>
      <c r="I13" s="17">
        <f>IF(OR(H13="",D13=""),"",VLOOKUP(D13,Escalas!$B$12:$E$16,2,TRUE))</f>
        <v/>
      </c>
      <c r="J13" s="18">
        <f>IF(OR(H13="",D13=""),"",VLOOKUP(D13,Escalas!$B$12:$E$16,3,TRUE))</f>
        <v/>
      </c>
      <c r="K13" s="18">
        <f>IF(H13="","",IF(H13="Superada",C13,0))</f>
        <v/>
      </c>
      <c r="L13" s="18">
        <f>IF(OR(H13="",D13=""),"",IF(OR(H13="Superada",Escalas!$D$7="Sí"),C13,0))</f>
        <v/>
      </c>
      <c r="M13" s="18">
        <f>IF(L13="","",L13*D13)</f>
        <v/>
      </c>
      <c r="N13" s="18">
        <f>IF(L13="","",L13*J13)</f>
        <v/>
      </c>
      <c r="O13" s="25">
        <f>IF(D13="","",D13+(1000-ROW())/10000000)</f>
        <v/>
      </c>
    </row>
    <row r="14">
      <c r="B14" s="22" t="inlineStr">
        <is>
          <t>Microeconomía I</t>
        </is>
      </c>
      <c r="C14" s="23" t="n">
        <v>6</v>
      </c>
      <c r="D14" s="23" t="n">
        <v>7.5</v>
      </c>
      <c r="E14" s="24" t="inlineStr">
        <is>
          <t>1º</t>
        </is>
      </c>
      <c r="F14" s="24" t="inlineStr">
        <is>
          <t>2C</t>
        </is>
      </c>
      <c r="G14" s="24" t="inlineStr">
        <is>
          <t>Obligatoria</t>
        </is>
      </c>
      <c r="H14" s="17">
        <f>IF(OR(B14="",C14=""),"",IF(D14="","Pendiente",IF(D14&gt;=Escalas!$D$5,"Superada","Suspensa")))</f>
        <v/>
      </c>
      <c r="I14" s="17">
        <f>IF(OR(H14="",D14=""),"",VLOOKUP(D14,Escalas!$B$12:$E$16,2,TRUE))</f>
        <v/>
      </c>
      <c r="J14" s="18">
        <f>IF(OR(H14="",D14=""),"",VLOOKUP(D14,Escalas!$B$12:$E$16,3,TRUE))</f>
        <v/>
      </c>
      <c r="K14" s="18">
        <f>IF(H14="","",IF(H14="Superada",C14,0))</f>
        <v/>
      </c>
      <c r="L14" s="18">
        <f>IF(OR(H14="",D14=""),"",IF(OR(H14="Superada",Escalas!$D$7="Sí"),C14,0))</f>
        <v/>
      </c>
      <c r="M14" s="18">
        <f>IF(L14="","",L14*D14)</f>
        <v/>
      </c>
      <c r="N14" s="18">
        <f>IF(L14="","",L14*J14)</f>
        <v/>
      </c>
      <c r="O14" s="25">
        <f>IF(D14="","",D14+(1000-ROW())/10000000)</f>
        <v/>
      </c>
    </row>
    <row r="15">
      <c r="B15" s="22" t="inlineStr">
        <is>
          <t>Informática de Gestión</t>
        </is>
      </c>
      <c r="C15" s="23" t="n">
        <v>6</v>
      </c>
      <c r="D15" s="23" t="n">
        <v>9.300000000000001</v>
      </c>
      <c r="E15" s="24" t="inlineStr">
        <is>
          <t>1º</t>
        </is>
      </c>
      <c r="F15" s="24" t="inlineStr">
        <is>
          <t>2C</t>
        </is>
      </c>
      <c r="G15" s="24" t="inlineStr">
        <is>
          <t>Obligatoria</t>
        </is>
      </c>
      <c r="H15" s="17">
        <f>IF(OR(B15="",C15=""),"",IF(D15="","Pendiente",IF(D15&gt;=Escalas!$D$5,"Superada","Suspensa")))</f>
        <v/>
      </c>
      <c r="I15" s="17">
        <f>IF(OR(H15="",D15=""),"",VLOOKUP(D15,Escalas!$B$12:$E$16,2,TRUE))</f>
        <v/>
      </c>
      <c r="J15" s="18">
        <f>IF(OR(H15="",D15=""),"",VLOOKUP(D15,Escalas!$B$12:$E$16,3,TRUE))</f>
        <v/>
      </c>
      <c r="K15" s="18">
        <f>IF(H15="","",IF(H15="Superada",C15,0))</f>
        <v/>
      </c>
      <c r="L15" s="18">
        <f>IF(OR(H15="",D15=""),"",IF(OR(H15="Superada",Escalas!$D$7="Sí"),C15,0))</f>
        <v/>
      </c>
      <c r="M15" s="18">
        <f>IF(L15="","",L15*D15)</f>
        <v/>
      </c>
      <c r="N15" s="18">
        <f>IF(L15="","",L15*J15)</f>
        <v/>
      </c>
      <c r="O15" s="25">
        <f>IF(D15="","",D15+(1000-ROW())/10000000)</f>
        <v/>
      </c>
    </row>
    <row r="16">
      <c r="B16" s="22" t="inlineStr">
        <is>
          <t>Inglés Empresarial</t>
        </is>
      </c>
      <c r="C16" s="23" t="n">
        <v>6</v>
      </c>
      <c r="D16" s="23" t="n">
        <v>7.8</v>
      </c>
      <c r="E16" s="24" t="inlineStr">
        <is>
          <t>1º</t>
        </is>
      </c>
      <c r="F16" s="24" t="inlineStr">
        <is>
          <t>2C</t>
        </is>
      </c>
      <c r="G16" s="24" t="inlineStr">
        <is>
          <t>Obligatoria</t>
        </is>
      </c>
      <c r="H16" s="17">
        <f>IF(OR(B16="",C16=""),"",IF(D16="","Pendiente",IF(D16&gt;=Escalas!$D$5,"Superada","Suspensa")))</f>
        <v/>
      </c>
      <c r="I16" s="17">
        <f>IF(OR(H16="",D16=""),"",VLOOKUP(D16,Escalas!$B$12:$E$16,2,TRUE))</f>
        <v/>
      </c>
      <c r="J16" s="18">
        <f>IF(OR(H16="",D16=""),"",VLOOKUP(D16,Escalas!$B$12:$E$16,3,TRUE))</f>
        <v/>
      </c>
      <c r="K16" s="18">
        <f>IF(H16="","",IF(H16="Superada",C16,0))</f>
        <v/>
      </c>
      <c r="L16" s="18">
        <f>IF(OR(H16="",D16=""),"",IF(OR(H16="Superada",Escalas!$D$7="Sí"),C16,0))</f>
        <v/>
      </c>
      <c r="M16" s="18">
        <f>IF(L16="","",L16*D16)</f>
        <v/>
      </c>
      <c r="N16" s="18">
        <f>IF(L16="","",L16*J16)</f>
        <v/>
      </c>
      <c r="O16" s="25">
        <f>IF(D16="","",D16+(1000-ROW())/10000000)</f>
        <v/>
      </c>
    </row>
    <row r="17">
      <c r="B17" s="22" t="inlineStr">
        <is>
          <t>Sociología de la Empresa</t>
        </is>
      </c>
      <c r="C17" s="23" t="n">
        <v>6</v>
      </c>
      <c r="D17" s="23" t="n">
        <v>6.9</v>
      </c>
      <c r="E17" s="24" t="inlineStr">
        <is>
          <t>1º</t>
        </is>
      </c>
      <c r="F17" s="24" t="inlineStr">
        <is>
          <t>2C</t>
        </is>
      </c>
      <c r="G17" s="24" t="inlineStr">
        <is>
          <t>Formación básica</t>
        </is>
      </c>
      <c r="H17" s="17">
        <f>IF(OR(B17="",C17=""),"",IF(D17="","Pendiente",IF(D17&gt;=Escalas!$D$5,"Superada","Suspensa")))</f>
        <v/>
      </c>
      <c r="I17" s="17">
        <f>IF(OR(H17="",D17=""),"",VLOOKUP(D17,Escalas!$B$12:$E$16,2,TRUE))</f>
        <v/>
      </c>
      <c r="J17" s="18">
        <f>IF(OR(H17="",D17=""),"",VLOOKUP(D17,Escalas!$B$12:$E$16,3,TRUE))</f>
        <v/>
      </c>
      <c r="K17" s="18">
        <f>IF(H17="","",IF(H17="Superada",C17,0))</f>
        <v/>
      </c>
      <c r="L17" s="18">
        <f>IF(OR(H17="",D17=""),"",IF(OR(H17="Superada",Escalas!$D$7="Sí"),C17,0))</f>
        <v/>
      </c>
      <c r="M17" s="18">
        <f>IF(L17="","",L17*D17)</f>
        <v/>
      </c>
      <c r="N17" s="18">
        <f>IF(L17="","",L17*J17)</f>
        <v/>
      </c>
      <c r="O17" s="25">
        <f>IF(D17="","",D17+(1000-ROW())/10000000)</f>
        <v/>
      </c>
    </row>
    <row r="18">
      <c r="B18" s="22" t="inlineStr">
        <is>
          <t>Macroeconomía</t>
        </is>
      </c>
      <c r="C18" s="23" t="n">
        <v>6</v>
      </c>
      <c r="D18" s="23" t="n">
        <v>7.1</v>
      </c>
      <c r="E18" s="24" t="inlineStr">
        <is>
          <t>2º</t>
        </is>
      </c>
      <c r="F18" s="24" t="inlineStr">
        <is>
          <t>1C</t>
        </is>
      </c>
      <c r="G18" s="24" t="inlineStr">
        <is>
          <t>Obligatoria</t>
        </is>
      </c>
      <c r="H18" s="17">
        <f>IF(OR(B18="",C18=""),"",IF(D18="","Pendiente",IF(D18&gt;=Escalas!$D$5,"Superada","Suspensa")))</f>
        <v/>
      </c>
      <c r="I18" s="17">
        <f>IF(OR(H18="",D18=""),"",VLOOKUP(D18,Escalas!$B$12:$E$16,2,TRUE))</f>
        <v/>
      </c>
      <c r="J18" s="18">
        <f>IF(OR(H18="",D18=""),"",VLOOKUP(D18,Escalas!$B$12:$E$16,3,TRUE))</f>
        <v/>
      </c>
      <c r="K18" s="18">
        <f>IF(H18="","",IF(H18="Superada",C18,0))</f>
        <v/>
      </c>
      <c r="L18" s="18">
        <f>IF(OR(H18="",D18=""),"",IF(OR(H18="Superada",Escalas!$D$7="Sí"),C18,0))</f>
        <v/>
      </c>
      <c r="M18" s="18">
        <f>IF(L18="","",L18*D18)</f>
        <v/>
      </c>
      <c r="N18" s="18">
        <f>IF(L18="","",L18*J18)</f>
        <v/>
      </c>
      <c r="O18" s="25">
        <f>IF(D18="","",D18+(1000-ROW())/10000000)</f>
        <v/>
      </c>
    </row>
    <row r="19">
      <c r="B19" s="22" t="inlineStr">
        <is>
          <t>Contabilidad de Costes</t>
        </is>
      </c>
      <c r="C19" s="23" t="n">
        <v>6</v>
      </c>
      <c r="D19" s="23" t="n">
        <v>6.2</v>
      </c>
      <c r="E19" s="24" t="inlineStr">
        <is>
          <t>2º</t>
        </is>
      </c>
      <c r="F19" s="24" t="inlineStr">
        <is>
          <t>1C</t>
        </is>
      </c>
      <c r="G19" s="24" t="inlineStr">
        <is>
          <t>Obligatoria</t>
        </is>
      </c>
      <c r="H19" s="17">
        <f>IF(OR(B19="",C19=""),"",IF(D19="","Pendiente",IF(D19&gt;=Escalas!$D$5,"Superada","Suspensa")))</f>
        <v/>
      </c>
      <c r="I19" s="17">
        <f>IF(OR(H19="",D19=""),"",VLOOKUP(D19,Escalas!$B$12:$E$16,2,TRUE))</f>
        <v/>
      </c>
      <c r="J19" s="18">
        <f>IF(OR(H19="",D19=""),"",VLOOKUP(D19,Escalas!$B$12:$E$16,3,TRUE))</f>
        <v/>
      </c>
      <c r="K19" s="18">
        <f>IF(H19="","",IF(H19="Superada",C19,0))</f>
        <v/>
      </c>
      <c r="L19" s="18">
        <f>IF(OR(H19="",D19=""),"",IF(OR(H19="Superada",Escalas!$D$7="Sí"),C19,0))</f>
        <v/>
      </c>
      <c r="M19" s="18">
        <f>IF(L19="","",L19*D19)</f>
        <v/>
      </c>
      <c r="N19" s="18">
        <f>IF(L19="","",L19*J19)</f>
        <v/>
      </c>
      <c r="O19" s="25">
        <f>IF(D19="","",D19+(1000-ROW())/10000000)</f>
        <v/>
      </c>
    </row>
    <row r="20">
      <c r="B20" s="22" t="inlineStr">
        <is>
          <t>Derecho Mercantil</t>
        </is>
      </c>
      <c r="C20" s="23" t="n">
        <v>6</v>
      </c>
      <c r="D20" s="23" t="n">
        <v>8.4</v>
      </c>
      <c r="E20" s="24" t="inlineStr">
        <is>
          <t>2º</t>
        </is>
      </c>
      <c r="F20" s="24" t="inlineStr">
        <is>
          <t>1C</t>
        </is>
      </c>
      <c r="G20" s="24" t="inlineStr">
        <is>
          <t>Obligatoria</t>
        </is>
      </c>
      <c r="H20" s="17">
        <f>IF(OR(B20="",C20=""),"",IF(D20="","Pendiente",IF(D20&gt;=Escalas!$D$5,"Superada","Suspensa")))</f>
        <v/>
      </c>
      <c r="I20" s="17">
        <f>IF(OR(H20="",D20=""),"",VLOOKUP(D20,Escalas!$B$12:$E$16,2,TRUE))</f>
        <v/>
      </c>
      <c r="J20" s="18">
        <f>IF(OR(H20="",D20=""),"",VLOOKUP(D20,Escalas!$B$12:$E$16,3,TRUE))</f>
        <v/>
      </c>
      <c r="K20" s="18">
        <f>IF(H20="","",IF(H20="Superada",C20,0))</f>
        <v/>
      </c>
      <c r="L20" s="18">
        <f>IF(OR(H20="",D20=""),"",IF(OR(H20="Superada",Escalas!$D$7="Sí"),C20,0))</f>
        <v/>
      </c>
      <c r="M20" s="18">
        <f>IF(L20="","",L20*D20)</f>
        <v/>
      </c>
      <c r="N20" s="18">
        <f>IF(L20="","",L20*J20)</f>
        <v/>
      </c>
      <c r="O20" s="25">
        <f>IF(D20="","",D20+(1000-ROW())/10000000)</f>
        <v/>
      </c>
    </row>
    <row r="21">
      <c r="B21" s="22" t="inlineStr">
        <is>
          <t>Marketing</t>
        </is>
      </c>
      <c r="C21" s="23" t="n">
        <v>6</v>
      </c>
      <c r="D21" s="23" t="n"/>
      <c r="E21" s="24" t="inlineStr">
        <is>
          <t>2º</t>
        </is>
      </c>
      <c r="F21" s="24" t="inlineStr">
        <is>
          <t>2C</t>
        </is>
      </c>
      <c r="G21" s="24" t="inlineStr">
        <is>
          <t>Obligatoria</t>
        </is>
      </c>
      <c r="H21" s="17">
        <f>IF(OR(B21="",C21=""),"",IF(D21="","Pendiente",IF(D21&gt;=Escalas!$D$5,"Superada","Suspensa")))</f>
        <v/>
      </c>
      <c r="I21" s="17">
        <f>IF(OR(H21="",D21=""),"",VLOOKUP(D21,Escalas!$B$12:$E$16,2,TRUE))</f>
        <v/>
      </c>
      <c r="J21" s="18">
        <f>IF(OR(H21="",D21=""),"",VLOOKUP(D21,Escalas!$B$12:$E$16,3,TRUE))</f>
        <v/>
      </c>
      <c r="K21" s="18">
        <f>IF(H21="","",IF(H21="Superada",C21,0))</f>
        <v/>
      </c>
      <c r="L21" s="18">
        <f>IF(OR(H21="",D21=""),"",IF(OR(H21="Superada",Escalas!$D$7="Sí"),C21,0))</f>
        <v/>
      </c>
      <c r="M21" s="18">
        <f>IF(L21="","",L21*D21)</f>
        <v/>
      </c>
      <c r="N21" s="18">
        <f>IF(L21="","",L21*J21)</f>
        <v/>
      </c>
      <c r="O21" s="25">
        <f>IF(D21="","",D21+(1000-ROW())/10000000)</f>
        <v/>
      </c>
    </row>
    <row r="22">
      <c r="B22" s="22" t="inlineStr">
        <is>
          <t>Emprendimiento (optativa)</t>
        </is>
      </c>
      <c r="C22" s="23" t="n">
        <v>3</v>
      </c>
      <c r="D22" s="23" t="n"/>
      <c r="E22" s="24" t="inlineStr">
        <is>
          <t>2º</t>
        </is>
      </c>
      <c r="F22" s="24" t="inlineStr">
        <is>
          <t>2C</t>
        </is>
      </c>
      <c r="G22" s="24" t="inlineStr">
        <is>
          <t>Optativa</t>
        </is>
      </c>
      <c r="H22" s="17">
        <f>IF(OR(B22="",C22=""),"",IF(D22="","Pendiente",IF(D22&gt;=Escalas!$D$5,"Superada","Suspensa")))</f>
        <v/>
      </c>
      <c r="I22" s="17">
        <f>IF(OR(H22="",D22=""),"",VLOOKUP(D22,Escalas!$B$12:$E$16,2,TRUE))</f>
        <v/>
      </c>
      <c r="J22" s="18">
        <f>IF(OR(H22="",D22=""),"",VLOOKUP(D22,Escalas!$B$12:$E$16,3,TRUE))</f>
        <v/>
      </c>
      <c r="K22" s="18">
        <f>IF(H22="","",IF(H22="Superada",C22,0))</f>
        <v/>
      </c>
      <c r="L22" s="18">
        <f>IF(OR(H22="",D22=""),"",IF(OR(H22="Superada",Escalas!$D$7="Sí"),C22,0))</f>
        <v/>
      </c>
      <c r="M22" s="18">
        <f>IF(L22="","",L22*D22)</f>
        <v/>
      </c>
      <c r="N22" s="18">
        <f>IF(L22="","",L22*J22)</f>
        <v/>
      </c>
      <c r="O22" s="25">
        <f>IF(D22="","",D22+(1000-ROW())/10000000)</f>
        <v/>
      </c>
    </row>
    <row r="23">
      <c r="B23" s="22" t="n"/>
      <c r="C23" s="23" t="n"/>
      <c r="D23" s="23" t="n"/>
      <c r="E23" s="24" t="n"/>
      <c r="F23" s="24" t="n"/>
      <c r="G23" s="24" t="n"/>
      <c r="H23" s="17">
        <f>IF(OR(B23="",C23=""),"",IF(D23="","Pendiente",IF(D23&gt;=Escalas!$D$5,"Superada","Suspensa")))</f>
        <v/>
      </c>
      <c r="I23" s="17">
        <f>IF(OR(H23="",D23=""),"",VLOOKUP(D23,Escalas!$B$12:$E$16,2,TRUE))</f>
        <v/>
      </c>
      <c r="J23" s="18">
        <f>IF(OR(H23="",D23=""),"",VLOOKUP(D23,Escalas!$B$12:$E$16,3,TRUE))</f>
        <v/>
      </c>
      <c r="K23" s="18">
        <f>IF(H23="","",IF(H23="Superada",C23,0))</f>
        <v/>
      </c>
      <c r="L23" s="18">
        <f>IF(OR(H23="",D23=""),"",IF(OR(H23="Superada",Escalas!$D$7="Sí"),C23,0))</f>
        <v/>
      </c>
      <c r="M23" s="18">
        <f>IF(L23="","",L23*D23)</f>
        <v/>
      </c>
      <c r="N23" s="18">
        <f>IF(L23="","",L23*J23)</f>
        <v/>
      </c>
      <c r="O23" s="25">
        <f>IF(D23="","",D23+(1000-ROW())/10000000)</f>
        <v/>
      </c>
    </row>
    <row r="24">
      <c r="B24" s="22" t="n"/>
      <c r="C24" s="23" t="n"/>
      <c r="D24" s="23" t="n"/>
      <c r="E24" s="24" t="n"/>
      <c r="F24" s="24" t="n"/>
      <c r="G24" s="24" t="n"/>
      <c r="H24" s="17">
        <f>IF(OR(B24="",C24=""),"",IF(D24="","Pendiente",IF(D24&gt;=Escalas!$D$5,"Superada","Suspensa")))</f>
        <v/>
      </c>
      <c r="I24" s="17">
        <f>IF(OR(H24="",D24=""),"",VLOOKUP(D24,Escalas!$B$12:$E$16,2,TRUE))</f>
        <v/>
      </c>
      <c r="J24" s="18">
        <f>IF(OR(H24="",D24=""),"",VLOOKUP(D24,Escalas!$B$12:$E$16,3,TRUE))</f>
        <v/>
      </c>
      <c r="K24" s="18">
        <f>IF(H24="","",IF(H24="Superada",C24,0))</f>
        <v/>
      </c>
      <c r="L24" s="18">
        <f>IF(OR(H24="",D24=""),"",IF(OR(H24="Superada",Escalas!$D$7="Sí"),C24,0))</f>
        <v/>
      </c>
      <c r="M24" s="18">
        <f>IF(L24="","",L24*D24)</f>
        <v/>
      </c>
      <c r="N24" s="18">
        <f>IF(L24="","",L24*J24)</f>
        <v/>
      </c>
      <c r="O24" s="25">
        <f>IF(D24="","",D24+(1000-ROW())/10000000)</f>
        <v/>
      </c>
    </row>
    <row r="25">
      <c r="B25" s="22" t="n"/>
      <c r="C25" s="23" t="n"/>
      <c r="D25" s="23" t="n"/>
      <c r="E25" s="24" t="n"/>
      <c r="F25" s="24" t="n"/>
      <c r="G25" s="24" t="n"/>
      <c r="H25" s="17">
        <f>IF(OR(B25="",C25=""),"",IF(D25="","Pendiente",IF(D25&gt;=Escalas!$D$5,"Superada","Suspensa")))</f>
        <v/>
      </c>
      <c r="I25" s="17">
        <f>IF(OR(H25="",D25=""),"",VLOOKUP(D25,Escalas!$B$12:$E$16,2,TRUE))</f>
        <v/>
      </c>
      <c r="J25" s="18">
        <f>IF(OR(H25="",D25=""),"",VLOOKUP(D25,Escalas!$B$12:$E$16,3,TRUE))</f>
        <v/>
      </c>
      <c r="K25" s="18">
        <f>IF(H25="","",IF(H25="Superada",C25,0))</f>
        <v/>
      </c>
      <c r="L25" s="18">
        <f>IF(OR(H25="",D25=""),"",IF(OR(H25="Superada",Escalas!$D$7="Sí"),C25,0))</f>
        <v/>
      </c>
      <c r="M25" s="18">
        <f>IF(L25="","",L25*D25)</f>
        <v/>
      </c>
      <c r="N25" s="18">
        <f>IF(L25="","",L25*J25)</f>
        <v/>
      </c>
      <c r="O25" s="25">
        <f>IF(D25="","",D25+(1000-ROW())/10000000)</f>
        <v/>
      </c>
    </row>
    <row r="26">
      <c r="B26" s="22" t="n"/>
      <c r="C26" s="23" t="n"/>
      <c r="D26" s="23" t="n"/>
      <c r="E26" s="24" t="n"/>
      <c r="F26" s="24" t="n"/>
      <c r="G26" s="24" t="n"/>
      <c r="H26" s="17">
        <f>IF(OR(B26="",C26=""),"",IF(D26="","Pendiente",IF(D26&gt;=Escalas!$D$5,"Superada","Suspensa")))</f>
        <v/>
      </c>
      <c r="I26" s="17">
        <f>IF(OR(H26="",D26=""),"",VLOOKUP(D26,Escalas!$B$12:$E$16,2,TRUE))</f>
        <v/>
      </c>
      <c r="J26" s="18">
        <f>IF(OR(H26="",D26=""),"",VLOOKUP(D26,Escalas!$B$12:$E$16,3,TRUE))</f>
        <v/>
      </c>
      <c r="K26" s="18">
        <f>IF(H26="","",IF(H26="Superada",C26,0))</f>
        <v/>
      </c>
      <c r="L26" s="18">
        <f>IF(OR(H26="",D26=""),"",IF(OR(H26="Superada",Escalas!$D$7="Sí"),C26,0))</f>
        <v/>
      </c>
      <c r="M26" s="18">
        <f>IF(L26="","",L26*D26)</f>
        <v/>
      </c>
      <c r="N26" s="18">
        <f>IF(L26="","",L26*J26)</f>
        <v/>
      </c>
      <c r="O26" s="25">
        <f>IF(D26="","",D26+(1000-ROW())/10000000)</f>
        <v/>
      </c>
    </row>
    <row r="27">
      <c r="B27" s="22" t="n"/>
      <c r="C27" s="23" t="n"/>
      <c r="D27" s="23" t="n"/>
      <c r="E27" s="24" t="n"/>
      <c r="F27" s="24" t="n"/>
      <c r="G27" s="24" t="n"/>
      <c r="H27" s="17">
        <f>IF(OR(B27="",C27=""),"",IF(D27="","Pendiente",IF(D27&gt;=Escalas!$D$5,"Superada","Suspensa")))</f>
        <v/>
      </c>
      <c r="I27" s="17">
        <f>IF(OR(H27="",D27=""),"",VLOOKUP(D27,Escalas!$B$12:$E$16,2,TRUE))</f>
        <v/>
      </c>
      <c r="J27" s="18">
        <f>IF(OR(H27="",D27=""),"",VLOOKUP(D27,Escalas!$B$12:$E$16,3,TRUE))</f>
        <v/>
      </c>
      <c r="K27" s="18">
        <f>IF(H27="","",IF(H27="Superada",C27,0))</f>
        <v/>
      </c>
      <c r="L27" s="18">
        <f>IF(OR(H27="",D27=""),"",IF(OR(H27="Superada",Escalas!$D$7="Sí"),C27,0))</f>
        <v/>
      </c>
      <c r="M27" s="18">
        <f>IF(L27="","",L27*D27)</f>
        <v/>
      </c>
      <c r="N27" s="18">
        <f>IF(L27="","",L27*J27)</f>
        <v/>
      </c>
      <c r="O27" s="25">
        <f>IF(D27="","",D27+(1000-ROW())/10000000)</f>
        <v/>
      </c>
    </row>
    <row r="28">
      <c r="B28" s="22" t="n"/>
      <c r="C28" s="23" t="n"/>
      <c r="D28" s="23" t="n"/>
      <c r="E28" s="24" t="n"/>
      <c r="F28" s="24" t="n"/>
      <c r="G28" s="24" t="n"/>
      <c r="H28" s="17">
        <f>IF(OR(B28="",C28=""),"",IF(D28="","Pendiente",IF(D28&gt;=Escalas!$D$5,"Superada","Suspensa")))</f>
        <v/>
      </c>
      <c r="I28" s="17">
        <f>IF(OR(H28="",D28=""),"",VLOOKUP(D28,Escalas!$B$12:$E$16,2,TRUE))</f>
        <v/>
      </c>
      <c r="J28" s="18">
        <f>IF(OR(H28="",D28=""),"",VLOOKUP(D28,Escalas!$B$12:$E$16,3,TRUE))</f>
        <v/>
      </c>
      <c r="K28" s="18">
        <f>IF(H28="","",IF(H28="Superada",C28,0))</f>
        <v/>
      </c>
      <c r="L28" s="18">
        <f>IF(OR(H28="",D28=""),"",IF(OR(H28="Superada",Escalas!$D$7="Sí"),C28,0))</f>
        <v/>
      </c>
      <c r="M28" s="18">
        <f>IF(L28="","",L28*D28)</f>
        <v/>
      </c>
      <c r="N28" s="18">
        <f>IF(L28="","",L28*J28)</f>
        <v/>
      </c>
      <c r="O28" s="25">
        <f>IF(D28="","",D28+(1000-ROW())/10000000)</f>
        <v/>
      </c>
    </row>
    <row r="29">
      <c r="B29" s="22" t="n"/>
      <c r="C29" s="23" t="n"/>
      <c r="D29" s="23" t="n"/>
      <c r="E29" s="24" t="n"/>
      <c r="F29" s="24" t="n"/>
      <c r="G29" s="24" t="n"/>
      <c r="H29" s="17">
        <f>IF(OR(B29="",C29=""),"",IF(D29="","Pendiente",IF(D29&gt;=Escalas!$D$5,"Superada","Suspensa")))</f>
        <v/>
      </c>
      <c r="I29" s="17">
        <f>IF(OR(H29="",D29=""),"",VLOOKUP(D29,Escalas!$B$12:$E$16,2,TRUE))</f>
        <v/>
      </c>
      <c r="J29" s="18">
        <f>IF(OR(H29="",D29=""),"",VLOOKUP(D29,Escalas!$B$12:$E$16,3,TRUE))</f>
        <v/>
      </c>
      <c r="K29" s="18">
        <f>IF(H29="","",IF(H29="Superada",C29,0))</f>
        <v/>
      </c>
      <c r="L29" s="18">
        <f>IF(OR(H29="",D29=""),"",IF(OR(H29="Superada",Escalas!$D$7="Sí"),C29,0))</f>
        <v/>
      </c>
      <c r="M29" s="18">
        <f>IF(L29="","",L29*D29)</f>
        <v/>
      </c>
      <c r="N29" s="18">
        <f>IF(L29="","",L29*J29)</f>
        <v/>
      </c>
      <c r="O29" s="25">
        <f>IF(D29="","",D29+(1000-ROW())/10000000)</f>
        <v/>
      </c>
    </row>
    <row r="30">
      <c r="B30" s="22" t="n"/>
      <c r="C30" s="23" t="n"/>
      <c r="D30" s="23" t="n"/>
      <c r="E30" s="24" t="n"/>
      <c r="F30" s="24" t="n"/>
      <c r="G30" s="24" t="n"/>
      <c r="H30" s="17">
        <f>IF(OR(B30="",C30=""),"",IF(D30="","Pendiente",IF(D30&gt;=Escalas!$D$5,"Superada","Suspensa")))</f>
        <v/>
      </c>
      <c r="I30" s="17">
        <f>IF(OR(H30="",D30=""),"",VLOOKUP(D30,Escalas!$B$12:$E$16,2,TRUE))</f>
        <v/>
      </c>
      <c r="J30" s="18">
        <f>IF(OR(H30="",D30=""),"",VLOOKUP(D30,Escalas!$B$12:$E$16,3,TRUE))</f>
        <v/>
      </c>
      <c r="K30" s="18">
        <f>IF(H30="","",IF(H30="Superada",C30,0))</f>
        <v/>
      </c>
      <c r="L30" s="18">
        <f>IF(OR(H30="",D30=""),"",IF(OR(H30="Superada",Escalas!$D$7="Sí"),C30,0))</f>
        <v/>
      </c>
      <c r="M30" s="18">
        <f>IF(L30="","",L30*D30)</f>
        <v/>
      </c>
      <c r="N30" s="18">
        <f>IF(L30="","",L30*J30)</f>
        <v/>
      </c>
      <c r="O30" s="25">
        <f>IF(D30="","",D30+(1000-ROW())/10000000)</f>
        <v/>
      </c>
    </row>
    <row r="31">
      <c r="B31" s="22" t="n"/>
      <c r="C31" s="23" t="n"/>
      <c r="D31" s="23" t="n"/>
      <c r="E31" s="24" t="n"/>
      <c r="F31" s="24" t="n"/>
      <c r="G31" s="24" t="n"/>
      <c r="H31" s="17">
        <f>IF(OR(B31="",C31=""),"",IF(D31="","Pendiente",IF(D31&gt;=Escalas!$D$5,"Superada","Suspensa")))</f>
        <v/>
      </c>
      <c r="I31" s="17">
        <f>IF(OR(H31="",D31=""),"",VLOOKUP(D31,Escalas!$B$12:$E$16,2,TRUE))</f>
        <v/>
      </c>
      <c r="J31" s="18">
        <f>IF(OR(H31="",D31=""),"",VLOOKUP(D31,Escalas!$B$12:$E$16,3,TRUE))</f>
        <v/>
      </c>
      <c r="K31" s="18">
        <f>IF(H31="","",IF(H31="Superada",C31,0))</f>
        <v/>
      </c>
      <c r="L31" s="18">
        <f>IF(OR(H31="",D31=""),"",IF(OR(H31="Superada",Escalas!$D$7="Sí"),C31,0))</f>
        <v/>
      </c>
      <c r="M31" s="18">
        <f>IF(L31="","",L31*D31)</f>
        <v/>
      </c>
      <c r="N31" s="18">
        <f>IF(L31="","",L31*J31)</f>
        <v/>
      </c>
      <c r="O31" s="25">
        <f>IF(D31="","",D31+(1000-ROW())/10000000)</f>
        <v/>
      </c>
    </row>
    <row r="32">
      <c r="B32" s="22" t="n"/>
      <c r="C32" s="23" t="n"/>
      <c r="D32" s="23" t="n"/>
      <c r="E32" s="24" t="n"/>
      <c r="F32" s="24" t="n"/>
      <c r="G32" s="24" t="n"/>
      <c r="H32" s="17">
        <f>IF(OR(B32="",C32=""),"",IF(D32="","Pendiente",IF(D32&gt;=Escalas!$D$5,"Superada","Suspensa")))</f>
        <v/>
      </c>
      <c r="I32" s="17">
        <f>IF(OR(H32="",D32=""),"",VLOOKUP(D32,Escalas!$B$12:$E$16,2,TRUE))</f>
        <v/>
      </c>
      <c r="J32" s="18">
        <f>IF(OR(H32="",D32=""),"",VLOOKUP(D32,Escalas!$B$12:$E$16,3,TRUE))</f>
        <v/>
      </c>
      <c r="K32" s="18">
        <f>IF(H32="","",IF(H32="Superada",C32,0))</f>
        <v/>
      </c>
      <c r="L32" s="18">
        <f>IF(OR(H32="",D32=""),"",IF(OR(H32="Superada",Escalas!$D$7="Sí"),C32,0))</f>
        <v/>
      </c>
      <c r="M32" s="18">
        <f>IF(L32="","",L32*D32)</f>
        <v/>
      </c>
      <c r="N32" s="18">
        <f>IF(L32="","",L32*J32)</f>
        <v/>
      </c>
      <c r="O32" s="25">
        <f>IF(D32="","",D32+(1000-ROW())/10000000)</f>
        <v/>
      </c>
    </row>
    <row r="33">
      <c r="B33" s="22" t="n"/>
      <c r="C33" s="23" t="n"/>
      <c r="D33" s="23" t="n"/>
      <c r="E33" s="24" t="n"/>
      <c r="F33" s="24" t="n"/>
      <c r="G33" s="24" t="n"/>
      <c r="H33" s="17">
        <f>IF(OR(B33="",C33=""),"",IF(D33="","Pendiente",IF(D33&gt;=Escalas!$D$5,"Superada","Suspensa")))</f>
        <v/>
      </c>
      <c r="I33" s="17">
        <f>IF(OR(H33="",D33=""),"",VLOOKUP(D33,Escalas!$B$12:$E$16,2,TRUE))</f>
        <v/>
      </c>
      <c r="J33" s="18">
        <f>IF(OR(H33="",D33=""),"",VLOOKUP(D33,Escalas!$B$12:$E$16,3,TRUE))</f>
        <v/>
      </c>
      <c r="K33" s="18">
        <f>IF(H33="","",IF(H33="Superada",C33,0))</f>
        <v/>
      </c>
      <c r="L33" s="18">
        <f>IF(OR(H33="",D33=""),"",IF(OR(H33="Superada",Escalas!$D$7="Sí"),C33,0))</f>
        <v/>
      </c>
      <c r="M33" s="18">
        <f>IF(L33="","",L33*D33)</f>
        <v/>
      </c>
      <c r="N33" s="18">
        <f>IF(L33="","",L33*J33)</f>
        <v/>
      </c>
      <c r="O33" s="25">
        <f>IF(D33="","",D33+(1000-ROW())/10000000)</f>
        <v/>
      </c>
    </row>
    <row r="34">
      <c r="B34" s="22" t="n"/>
      <c r="C34" s="23" t="n"/>
      <c r="D34" s="23" t="n"/>
      <c r="E34" s="24" t="n"/>
      <c r="F34" s="24" t="n"/>
      <c r="G34" s="24" t="n"/>
      <c r="H34" s="17">
        <f>IF(OR(B34="",C34=""),"",IF(D34="","Pendiente",IF(D34&gt;=Escalas!$D$5,"Superada","Suspensa")))</f>
        <v/>
      </c>
      <c r="I34" s="17">
        <f>IF(OR(H34="",D34=""),"",VLOOKUP(D34,Escalas!$B$12:$E$16,2,TRUE))</f>
        <v/>
      </c>
      <c r="J34" s="18">
        <f>IF(OR(H34="",D34=""),"",VLOOKUP(D34,Escalas!$B$12:$E$16,3,TRUE))</f>
        <v/>
      </c>
      <c r="K34" s="18">
        <f>IF(H34="","",IF(H34="Superada",C34,0))</f>
        <v/>
      </c>
      <c r="L34" s="18">
        <f>IF(OR(H34="",D34=""),"",IF(OR(H34="Superada",Escalas!$D$7="Sí"),C34,0))</f>
        <v/>
      </c>
      <c r="M34" s="18">
        <f>IF(L34="","",L34*D34)</f>
        <v/>
      </c>
      <c r="N34" s="18">
        <f>IF(L34="","",L34*J34)</f>
        <v/>
      </c>
      <c r="O34" s="25">
        <f>IF(D34="","",D34+(1000-ROW())/10000000)</f>
        <v/>
      </c>
    </row>
    <row r="35">
      <c r="B35" s="22" t="n"/>
      <c r="C35" s="23" t="n"/>
      <c r="D35" s="23" t="n"/>
      <c r="E35" s="24" t="n"/>
      <c r="F35" s="24" t="n"/>
      <c r="G35" s="24" t="n"/>
      <c r="H35" s="17">
        <f>IF(OR(B35="",C35=""),"",IF(D35="","Pendiente",IF(D35&gt;=Escalas!$D$5,"Superada","Suspensa")))</f>
        <v/>
      </c>
      <c r="I35" s="17">
        <f>IF(OR(H35="",D35=""),"",VLOOKUP(D35,Escalas!$B$12:$E$16,2,TRUE))</f>
        <v/>
      </c>
      <c r="J35" s="18">
        <f>IF(OR(H35="",D35=""),"",VLOOKUP(D35,Escalas!$B$12:$E$16,3,TRUE))</f>
        <v/>
      </c>
      <c r="K35" s="18">
        <f>IF(H35="","",IF(H35="Superada",C35,0))</f>
        <v/>
      </c>
      <c r="L35" s="18">
        <f>IF(OR(H35="",D35=""),"",IF(OR(H35="Superada",Escalas!$D$7="Sí"),C35,0))</f>
        <v/>
      </c>
      <c r="M35" s="18">
        <f>IF(L35="","",L35*D35)</f>
        <v/>
      </c>
      <c r="N35" s="18">
        <f>IF(L35="","",L35*J35)</f>
        <v/>
      </c>
      <c r="O35" s="25">
        <f>IF(D35="","",D35+(1000-ROW())/10000000)</f>
        <v/>
      </c>
    </row>
    <row r="36">
      <c r="B36" s="22" t="n"/>
      <c r="C36" s="23" t="n"/>
      <c r="D36" s="23" t="n"/>
      <c r="E36" s="24" t="n"/>
      <c r="F36" s="24" t="n"/>
      <c r="G36" s="24" t="n"/>
      <c r="H36" s="17">
        <f>IF(OR(B36="",C36=""),"",IF(D36="","Pendiente",IF(D36&gt;=Escalas!$D$5,"Superada","Suspensa")))</f>
        <v/>
      </c>
      <c r="I36" s="17">
        <f>IF(OR(H36="",D36=""),"",VLOOKUP(D36,Escalas!$B$12:$E$16,2,TRUE))</f>
        <v/>
      </c>
      <c r="J36" s="18">
        <f>IF(OR(H36="",D36=""),"",VLOOKUP(D36,Escalas!$B$12:$E$16,3,TRUE))</f>
        <v/>
      </c>
      <c r="K36" s="18">
        <f>IF(H36="","",IF(H36="Superada",C36,0))</f>
        <v/>
      </c>
      <c r="L36" s="18">
        <f>IF(OR(H36="",D36=""),"",IF(OR(H36="Superada",Escalas!$D$7="Sí"),C36,0))</f>
        <v/>
      </c>
      <c r="M36" s="18">
        <f>IF(L36="","",L36*D36)</f>
        <v/>
      </c>
      <c r="N36" s="18">
        <f>IF(L36="","",L36*J36)</f>
        <v/>
      </c>
      <c r="O36" s="25">
        <f>IF(D36="","",D36+(1000-ROW())/10000000)</f>
        <v/>
      </c>
    </row>
    <row r="37">
      <c r="B37" s="22" t="n"/>
      <c r="C37" s="23" t="n"/>
      <c r="D37" s="23" t="n"/>
      <c r="E37" s="24" t="n"/>
      <c r="F37" s="24" t="n"/>
      <c r="G37" s="24" t="n"/>
      <c r="H37" s="17">
        <f>IF(OR(B37="",C37=""),"",IF(D37="","Pendiente",IF(D37&gt;=Escalas!$D$5,"Superada","Suspensa")))</f>
        <v/>
      </c>
      <c r="I37" s="17">
        <f>IF(OR(H37="",D37=""),"",VLOOKUP(D37,Escalas!$B$12:$E$16,2,TRUE))</f>
        <v/>
      </c>
      <c r="J37" s="18">
        <f>IF(OR(H37="",D37=""),"",VLOOKUP(D37,Escalas!$B$12:$E$16,3,TRUE))</f>
        <v/>
      </c>
      <c r="K37" s="18">
        <f>IF(H37="","",IF(H37="Superada",C37,0))</f>
        <v/>
      </c>
      <c r="L37" s="18">
        <f>IF(OR(H37="",D37=""),"",IF(OR(H37="Superada",Escalas!$D$7="Sí"),C37,0))</f>
        <v/>
      </c>
      <c r="M37" s="18">
        <f>IF(L37="","",L37*D37)</f>
        <v/>
      </c>
      <c r="N37" s="18">
        <f>IF(L37="","",L37*J37)</f>
        <v/>
      </c>
      <c r="O37" s="25">
        <f>IF(D37="","",D37+(1000-ROW())/10000000)</f>
        <v/>
      </c>
    </row>
    <row r="38">
      <c r="B38" s="22" t="n"/>
      <c r="C38" s="23" t="n"/>
      <c r="D38" s="23" t="n"/>
      <c r="E38" s="24" t="n"/>
      <c r="F38" s="24" t="n"/>
      <c r="G38" s="24" t="n"/>
      <c r="H38" s="17">
        <f>IF(OR(B38="",C38=""),"",IF(D38="","Pendiente",IF(D38&gt;=Escalas!$D$5,"Superada","Suspensa")))</f>
        <v/>
      </c>
      <c r="I38" s="17">
        <f>IF(OR(H38="",D38=""),"",VLOOKUP(D38,Escalas!$B$12:$E$16,2,TRUE))</f>
        <v/>
      </c>
      <c r="J38" s="18">
        <f>IF(OR(H38="",D38=""),"",VLOOKUP(D38,Escalas!$B$12:$E$16,3,TRUE))</f>
        <v/>
      </c>
      <c r="K38" s="18">
        <f>IF(H38="","",IF(H38="Superada",C38,0))</f>
        <v/>
      </c>
      <c r="L38" s="18">
        <f>IF(OR(H38="",D38=""),"",IF(OR(H38="Superada",Escalas!$D$7="Sí"),C38,0))</f>
        <v/>
      </c>
      <c r="M38" s="18">
        <f>IF(L38="","",L38*D38)</f>
        <v/>
      </c>
      <c r="N38" s="18">
        <f>IF(L38="","",L38*J38)</f>
        <v/>
      </c>
      <c r="O38" s="25">
        <f>IF(D38="","",D38+(1000-ROW())/10000000)</f>
        <v/>
      </c>
    </row>
    <row r="39">
      <c r="B39" s="22" t="n"/>
      <c r="C39" s="23" t="n"/>
      <c r="D39" s="23" t="n"/>
      <c r="E39" s="24" t="n"/>
      <c r="F39" s="24" t="n"/>
      <c r="G39" s="24" t="n"/>
      <c r="H39" s="17">
        <f>IF(OR(B39="",C39=""),"",IF(D39="","Pendiente",IF(D39&gt;=Escalas!$D$5,"Superada","Suspensa")))</f>
        <v/>
      </c>
      <c r="I39" s="17">
        <f>IF(OR(H39="",D39=""),"",VLOOKUP(D39,Escalas!$B$12:$E$16,2,TRUE))</f>
        <v/>
      </c>
      <c r="J39" s="18">
        <f>IF(OR(H39="",D39=""),"",VLOOKUP(D39,Escalas!$B$12:$E$16,3,TRUE))</f>
        <v/>
      </c>
      <c r="K39" s="18">
        <f>IF(H39="","",IF(H39="Superada",C39,0))</f>
        <v/>
      </c>
      <c r="L39" s="18">
        <f>IF(OR(H39="",D39=""),"",IF(OR(H39="Superada",Escalas!$D$7="Sí"),C39,0))</f>
        <v/>
      </c>
      <c r="M39" s="18">
        <f>IF(L39="","",L39*D39)</f>
        <v/>
      </c>
      <c r="N39" s="18">
        <f>IF(L39="","",L39*J39)</f>
        <v/>
      </c>
      <c r="O39" s="25">
        <f>IF(D39="","",D39+(1000-ROW())/10000000)</f>
        <v/>
      </c>
    </row>
    <row r="40">
      <c r="B40" s="22" t="n"/>
      <c r="C40" s="23" t="n"/>
      <c r="D40" s="23" t="n"/>
      <c r="E40" s="24" t="n"/>
      <c r="F40" s="24" t="n"/>
      <c r="G40" s="24" t="n"/>
      <c r="H40" s="17">
        <f>IF(OR(B40="",C40=""),"",IF(D40="","Pendiente",IF(D40&gt;=Escalas!$D$5,"Superada","Suspensa")))</f>
        <v/>
      </c>
      <c r="I40" s="17">
        <f>IF(OR(H40="",D40=""),"",VLOOKUP(D40,Escalas!$B$12:$E$16,2,TRUE))</f>
        <v/>
      </c>
      <c r="J40" s="18">
        <f>IF(OR(H40="",D40=""),"",VLOOKUP(D40,Escalas!$B$12:$E$16,3,TRUE))</f>
        <v/>
      </c>
      <c r="K40" s="18">
        <f>IF(H40="","",IF(H40="Superada",C40,0))</f>
        <v/>
      </c>
      <c r="L40" s="18">
        <f>IF(OR(H40="",D40=""),"",IF(OR(H40="Superada",Escalas!$D$7="Sí"),C40,0))</f>
        <v/>
      </c>
      <c r="M40" s="18">
        <f>IF(L40="","",L40*D40)</f>
        <v/>
      </c>
      <c r="N40" s="18">
        <f>IF(L40="","",L40*J40)</f>
        <v/>
      </c>
      <c r="O40" s="25">
        <f>IF(D40="","",D40+(1000-ROW())/10000000)</f>
        <v/>
      </c>
    </row>
    <row r="41">
      <c r="B41" s="22" t="n"/>
      <c r="C41" s="23" t="n"/>
      <c r="D41" s="23" t="n"/>
      <c r="E41" s="24" t="n"/>
      <c r="F41" s="24" t="n"/>
      <c r="G41" s="24" t="n"/>
      <c r="H41" s="17">
        <f>IF(OR(B41="",C41=""),"",IF(D41="","Pendiente",IF(D41&gt;=Escalas!$D$5,"Superada","Suspensa")))</f>
        <v/>
      </c>
      <c r="I41" s="17">
        <f>IF(OR(H41="",D41=""),"",VLOOKUP(D41,Escalas!$B$12:$E$16,2,TRUE))</f>
        <v/>
      </c>
      <c r="J41" s="18">
        <f>IF(OR(H41="",D41=""),"",VLOOKUP(D41,Escalas!$B$12:$E$16,3,TRUE))</f>
        <v/>
      </c>
      <c r="K41" s="18">
        <f>IF(H41="","",IF(H41="Superada",C41,0))</f>
        <v/>
      </c>
      <c r="L41" s="18">
        <f>IF(OR(H41="",D41=""),"",IF(OR(H41="Superada",Escalas!$D$7="Sí"),C41,0))</f>
        <v/>
      </c>
      <c r="M41" s="18">
        <f>IF(L41="","",L41*D41)</f>
        <v/>
      </c>
      <c r="N41" s="18">
        <f>IF(L41="","",L41*J41)</f>
        <v/>
      </c>
      <c r="O41" s="25">
        <f>IF(D41="","",D41+(1000-ROW())/10000000)</f>
        <v/>
      </c>
    </row>
    <row r="42">
      <c r="B42" s="22" t="n"/>
      <c r="C42" s="23" t="n"/>
      <c r="D42" s="23" t="n"/>
      <c r="E42" s="24" t="n"/>
      <c r="F42" s="24" t="n"/>
      <c r="G42" s="24" t="n"/>
      <c r="H42" s="17">
        <f>IF(OR(B42="",C42=""),"",IF(D42="","Pendiente",IF(D42&gt;=Escalas!$D$5,"Superada","Suspensa")))</f>
        <v/>
      </c>
      <c r="I42" s="17">
        <f>IF(OR(H42="",D42=""),"",VLOOKUP(D42,Escalas!$B$12:$E$16,2,TRUE))</f>
        <v/>
      </c>
      <c r="J42" s="18">
        <f>IF(OR(H42="",D42=""),"",VLOOKUP(D42,Escalas!$B$12:$E$16,3,TRUE))</f>
        <v/>
      </c>
      <c r="K42" s="18">
        <f>IF(H42="","",IF(H42="Superada",C42,0))</f>
        <v/>
      </c>
      <c r="L42" s="18">
        <f>IF(OR(H42="",D42=""),"",IF(OR(H42="Superada",Escalas!$D$7="Sí"),C42,0))</f>
        <v/>
      </c>
      <c r="M42" s="18">
        <f>IF(L42="","",L42*D42)</f>
        <v/>
      </c>
      <c r="N42" s="18">
        <f>IF(L42="","",L42*J42)</f>
        <v/>
      </c>
      <c r="O42" s="25">
        <f>IF(D42="","",D42+(1000-ROW())/10000000)</f>
        <v/>
      </c>
    </row>
    <row r="43">
      <c r="B43" s="22" t="n"/>
      <c r="C43" s="23" t="n"/>
      <c r="D43" s="23" t="n"/>
      <c r="E43" s="24" t="n"/>
      <c r="F43" s="24" t="n"/>
      <c r="G43" s="24" t="n"/>
      <c r="H43" s="17">
        <f>IF(OR(B43="",C43=""),"",IF(D43="","Pendiente",IF(D43&gt;=Escalas!$D$5,"Superada","Suspensa")))</f>
        <v/>
      </c>
      <c r="I43" s="17">
        <f>IF(OR(H43="",D43=""),"",VLOOKUP(D43,Escalas!$B$12:$E$16,2,TRUE))</f>
        <v/>
      </c>
      <c r="J43" s="18">
        <f>IF(OR(H43="",D43=""),"",VLOOKUP(D43,Escalas!$B$12:$E$16,3,TRUE))</f>
        <v/>
      </c>
      <c r="K43" s="18">
        <f>IF(H43="","",IF(H43="Superada",C43,0))</f>
        <v/>
      </c>
      <c r="L43" s="18">
        <f>IF(OR(H43="",D43=""),"",IF(OR(H43="Superada",Escalas!$D$7="Sí"),C43,0))</f>
        <v/>
      </c>
      <c r="M43" s="18">
        <f>IF(L43="","",L43*D43)</f>
        <v/>
      </c>
      <c r="N43" s="18">
        <f>IF(L43="","",L43*J43)</f>
        <v/>
      </c>
      <c r="O43" s="25">
        <f>IF(D43="","",D43+(1000-ROW())/10000000)</f>
        <v/>
      </c>
    </row>
    <row r="44">
      <c r="B44" s="22" t="n"/>
      <c r="C44" s="23" t="n"/>
      <c r="D44" s="23" t="n"/>
      <c r="E44" s="24" t="n"/>
      <c r="F44" s="24" t="n"/>
      <c r="G44" s="24" t="n"/>
      <c r="H44" s="17">
        <f>IF(OR(B44="",C44=""),"",IF(D44="","Pendiente",IF(D44&gt;=Escalas!$D$5,"Superada","Suspensa")))</f>
        <v/>
      </c>
      <c r="I44" s="17">
        <f>IF(OR(H44="",D44=""),"",VLOOKUP(D44,Escalas!$B$12:$E$16,2,TRUE))</f>
        <v/>
      </c>
      <c r="J44" s="18">
        <f>IF(OR(H44="",D44=""),"",VLOOKUP(D44,Escalas!$B$12:$E$16,3,TRUE))</f>
        <v/>
      </c>
      <c r="K44" s="18">
        <f>IF(H44="","",IF(H44="Superada",C44,0))</f>
        <v/>
      </c>
      <c r="L44" s="18">
        <f>IF(OR(H44="",D44=""),"",IF(OR(H44="Superada",Escalas!$D$7="Sí"),C44,0))</f>
        <v/>
      </c>
      <c r="M44" s="18">
        <f>IF(L44="","",L44*D44)</f>
        <v/>
      </c>
      <c r="N44" s="18">
        <f>IF(L44="","",L44*J44)</f>
        <v/>
      </c>
      <c r="O44" s="25">
        <f>IF(D44="","",D44+(1000-ROW())/10000000)</f>
        <v/>
      </c>
    </row>
    <row r="45">
      <c r="B45" s="22" t="n"/>
      <c r="C45" s="23" t="n"/>
      <c r="D45" s="23" t="n"/>
      <c r="E45" s="24" t="n"/>
      <c r="F45" s="24" t="n"/>
      <c r="G45" s="24" t="n"/>
      <c r="H45" s="17">
        <f>IF(OR(B45="",C45=""),"",IF(D45="","Pendiente",IF(D45&gt;=Escalas!$D$5,"Superada","Suspensa")))</f>
        <v/>
      </c>
      <c r="I45" s="17">
        <f>IF(OR(H45="",D45=""),"",VLOOKUP(D45,Escalas!$B$12:$E$16,2,TRUE))</f>
        <v/>
      </c>
      <c r="J45" s="18">
        <f>IF(OR(H45="",D45=""),"",VLOOKUP(D45,Escalas!$B$12:$E$16,3,TRUE))</f>
        <v/>
      </c>
      <c r="K45" s="18">
        <f>IF(H45="","",IF(H45="Superada",C45,0))</f>
        <v/>
      </c>
      <c r="L45" s="18">
        <f>IF(OR(H45="",D45=""),"",IF(OR(H45="Superada",Escalas!$D$7="Sí"),C45,0))</f>
        <v/>
      </c>
      <c r="M45" s="18">
        <f>IF(L45="","",L45*D45)</f>
        <v/>
      </c>
      <c r="N45" s="18">
        <f>IF(L45="","",L45*J45)</f>
        <v/>
      </c>
      <c r="O45" s="25">
        <f>IF(D45="","",D45+(1000-ROW())/10000000)</f>
        <v/>
      </c>
    </row>
    <row r="46">
      <c r="B46" s="22" t="n"/>
      <c r="C46" s="23" t="n"/>
      <c r="D46" s="23" t="n"/>
      <c r="E46" s="24" t="n"/>
      <c r="F46" s="24" t="n"/>
      <c r="G46" s="24" t="n"/>
      <c r="H46" s="17">
        <f>IF(OR(B46="",C46=""),"",IF(D46="","Pendiente",IF(D46&gt;=Escalas!$D$5,"Superada","Suspensa")))</f>
        <v/>
      </c>
      <c r="I46" s="17">
        <f>IF(OR(H46="",D46=""),"",VLOOKUP(D46,Escalas!$B$12:$E$16,2,TRUE))</f>
        <v/>
      </c>
      <c r="J46" s="18">
        <f>IF(OR(H46="",D46=""),"",VLOOKUP(D46,Escalas!$B$12:$E$16,3,TRUE))</f>
        <v/>
      </c>
      <c r="K46" s="18">
        <f>IF(H46="","",IF(H46="Superada",C46,0))</f>
        <v/>
      </c>
      <c r="L46" s="18">
        <f>IF(OR(H46="",D46=""),"",IF(OR(H46="Superada",Escalas!$D$7="Sí"),C46,0))</f>
        <v/>
      </c>
      <c r="M46" s="18">
        <f>IF(L46="","",L46*D46)</f>
        <v/>
      </c>
      <c r="N46" s="18">
        <f>IF(L46="","",L46*J46)</f>
        <v/>
      </c>
      <c r="O46" s="25">
        <f>IF(D46="","",D46+(1000-ROW())/10000000)</f>
        <v/>
      </c>
    </row>
    <row r="47">
      <c r="B47" s="22" t="n"/>
      <c r="C47" s="23" t="n"/>
      <c r="D47" s="23" t="n"/>
      <c r="E47" s="24" t="n"/>
      <c r="F47" s="24" t="n"/>
      <c r="G47" s="24" t="n"/>
      <c r="H47" s="17">
        <f>IF(OR(B47="",C47=""),"",IF(D47="","Pendiente",IF(D47&gt;=Escalas!$D$5,"Superada","Suspensa")))</f>
        <v/>
      </c>
      <c r="I47" s="17">
        <f>IF(OR(H47="",D47=""),"",VLOOKUP(D47,Escalas!$B$12:$E$16,2,TRUE))</f>
        <v/>
      </c>
      <c r="J47" s="18">
        <f>IF(OR(H47="",D47=""),"",VLOOKUP(D47,Escalas!$B$12:$E$16,3,TRUE))</f>
        <v/>
      </c>
      <c r="K47" s="18">
        <f>IF(H47="","",IF(H47="Superada",C47,0))</f>
        <v/>
      </c>
      <c r="L47" s="18">
        <f>IF(OR(H47="",D47=""),"",IF(OR(H47="Superada",Escalas!$D$7="Sí"),C47,0))</f>
        <v/>
      </c>
      <c r="M47" s="18">
        <f>IF(L47="","",L47*D47)</f>
        <v/>
      </c>
      <c r="N47" s="18">
        <f>IF(L47="","",L47*J47)</f>
        <v/>
      </c>
      <c r="O47" s="25">
        <f>IF(D47="","",D47+(1000-ROW())/10000000)</f>
        <v/>
      </c>
    </row>
    <row r="48">
      <c r="B48" s="22" t="n"/>
      <c r="C48" s="23" t="n"/>
      <c r="D48" s="23" t="n"/>
      <c r="E48" s="24" t="n"/>
      <c r="F48" s="24" t="n"/>
      <c r="G48" s="24" t="n"/>
      <c r="H48" s="17">
        <f>IF(OR(B48="",C48=""),"",IF(D48="","Pendiente",IF(D48&gt;=Escalas!$D$5,"Superada","Suspensa")))</f>
        <v/>
      </c>
      <c r="I48" s="17">
        <f>IF(OR(H48="",D48=""),"",VLOOKUP(D48,Escalas!$B$12:$E$16,2,TRUE))</f>
        <v/>
      </c>
      <c r="J48" s="18">
        <f>IF(OR(H48="",D48=""),"",VLOOKUP(D48,Escalas!$B$12:$E$16,3,TRUE))</f>
        <v/>
      </c>
      <c r="K48" s="18">
        <f>IF(H48="","",IF(H48="Superada",C48,0))</f>
        <v/>
      </c>
      <c r="L48" s="18">
        <f>IF(OR(H48="",D48=""),"",IF(OR(H48="Superada",Escalas!$D$7="Sí"),C48,0))</f>
        <v/>
      </c>
      <c r="M48" s="18">
        <f>IF(L48="","",L48*D48)</f>
        <v/>
      </c>
      <c r="N48" s="18">
        <f>IF(L48="","",L48*J48)</f>
        <v/>
      </c>
      <c r="O48" s="25">
        <f>IF(D48="","",D48+(1000-ROW())/10000000)</f>
        <v/>
      </c>
    </row>
    <row r="49">
      <c r="B49" s="22" t="n"/>
      <c r="C49" s="23" t="n"/>
      <c r="D49" s="23" t="n"/>
      <c r="E49" s="24" t="n"/>
      <c r="F49" s="24" t="n"/>
      <c r="G49" s="24" t="n"/>
      <c r="H49" s="17">
        <f>IF(OR(B49="",C49=""),"",IF(D49="","Pendiente",IF(D49&gt;=Escalas!$D$5,"Superada","Suspensa")))</f>
        <v/>
      </c>
      <c r="I49" s="17">
        <f>IF(OR(H49="",D49=""),"",VLOOKUP(D49,Escalas!$B$12:$E$16,2,TRUE))</f>
        <v/>
      </c>
      <c r="J49" s="18">
        <f>IF(OR(H49="",D49=""),"",VLOOKUP(D49,Escalas!$B$12:$E$16,3,TRUE))</f>
        <v/>
      </c>
      <c r="K49" s="18">
        <f>IF(H49="","",IF(H49="Superada",C49,0))</f>
        <v/>
      </c>
      <c r="L49" s="18">
        <f>IF(OR(H49="",D49=""),"",IF(OR(H49="Superada",Escalas!$D$7="Sí"),C49,0))</f>
        <v/>
      </c>
      <c r="M49" s="18">
        <f>IF(L49="","",L49*D49)</f>
        <v/>
      </c>
      <c r="N49" s="18">
        <f>IF(L49="","",L49*J49)</f>
        <v/>
      </c>
      <c r="O49" s="25">
        <f>IF(D49="","",D49+(1000-ROW())/10000000)</f>
        <v/>
      </c>
    </row>
    <row r="50">
      <c r="B50" s="22" t="n"/>
      <c r="C50" s="23" t="n"/>
      <c r="D50" s="23" t="n"/>
      <c r="E50" s="24" t="n"/>
      <c r="F50" s="24" t="n"/>
      <c r="G50" s="24" t="n"/>
      <c r="H50" s="17">
        <f>IF(OR(B50="",C50=""),"",IF(D50="","Pendiente",IF(D50&gt;=Escalas!$D$5,"Superada","Suspensa")))</f>
        <v/>
      </c>
      <c r="I50" s="17">
        <f>IF(OR(H50="",D50=""),"",VLOOKUP(D50,Escalas!$B$12:$E$16,2,TRUE))</f>
        <v/>
      </c>
      <c r="J50" s="18">
        <f>IF(OR(H50="",D50=""),"",VLOOKUP(D50,Escalas!$B$12:$E$16,3,TRUE))</f>
        <v/>
      </c>
      <c r="K50" s="18">
        <f>IF(H50="","",IF(H50="Superada",C50,0))</f>
        <v/>
      </c>
      <c r="L50" s="18">
        <f>IF(OR(H50="",D50=""),"",IF(OR(H50="Superada",Escalas!$D$7="Sí"),C50,0))</f>
        <v/>
      </c>
      <c r="M50" s="18">
        <f>IF(L50="","",L50*D50)</f>
        <v/>
      </c>
      <c r="N50" s="18">
        <f>IF(L50="","",L50*J50)</f>
        <v/>
      </c>
      <c r="O50" s="25">
        <f>IF(D50="","",D50+(1000-ROW())/10000000)</f>
        <v/>
      </c>
    </row>
    <row r="51">
      <c r="B51" s="22" t="n"/>
      <c r="C51" s="23" t="n"/>
      <c r="D51" s="23" t="n"/>
      <c r="E51" s="24" t="n"/>
      <c r="F51" s="24" t="n"/>
      <c r="G51" s="24" t="n"/>
      <c r="H51" s="17">
        <f>IF(OR(B51="",C51=""),"",IF(D51="","Pendiente",IF(D51&gt;=Escalas!$D$5,"Superada","Suspensa")))</f>
        <v/>
      </c>
      <c r="I51" s="17">
        <f>IF(OR(H51="",D51=""),"",VLOOKUP(D51,Escalas!$B$12:$E$16,2,TRUE))</f>
        <v/>
      </c>
      <c r="J51" s="18">
        <f>IF(OR(H51="",D51=""),"",VLOOKUP(D51,Escalas!$B$12:$E$16,3,TRUE))</f>
        <v/>
      </c>
      <c r="K51" s="18">
        <f>IF(H51="","",IF(H51="Superada",C51,0))</f>
        <v/>
      </c>
      <c r="L51" s="18">
        <f>IF(OR(H51="",D51=""),"",IF(OR(H51="Superada",Escalas!$D$7="Sí"),C51,0))</f>
        <v/>
      </c>
      <c r="M51" s="18">
        <f>IF(L51="","",L51*D51)</f>
        <v/>
      </c>
      <c r="N51" s="18">
        <f>IF(L51="","",L51*J51)</f>
        <v/>
      </c>
      <c r="O51" s="25">
        <f>IF(D51="","",D51+(1000-ROW())/10000000)</f>
        <v/>
      </c>
    </row>
    <row r="52">
      <c r="B52" s="22" t="n"/>
      <c r="C52" s="23" t="n"/>
      <c r="D52" s="23" t="n"/>
      <c r="E52" s="24" t="n"/>
      <c r="F52" s="24" t="n"/>
      <c r="G52" s="24" t="n"/>
      <c r="H52" s="17">
        <f>IF(OR(B52="",C52=""),"",IF(D52="","Pendiente",IF(D52&gt;=Escalas!$D$5,"Superada","Suspensa")))</f>
        <v/>
      </c>
      <c r="I52" s="17">
        <f>IF(OR(H52="",D52=""),"",VLOOKUP(D52,Escalas!$B$12:$E$16,2,TRUE))</f>
        <v/>
      </c>
      <c r="J52" s="18">
        <f>IF(OR(H52="",D52=""),"",VLOOKUP(D52,Escalas!$B$12:$E$16,3,TRUE))</f>
        <v/>
      </c>
      <c r="K52" s="18">
        <f>IF(H52="","",IF(H52="Superada",C52,0))</f>
        <v/>
      </c>
      <c r="L52" s="18">
        <f>IF(OR(H52="",D52=""),"",IF(OR(H52="Superada",Escalas!$D$7="Sí"),C52,0))</f>
        <v/>
      </c>
      <c r="M52" s="18">
        <f>IF(L52="","",L52*D52)</f>
        <v/>
      </c>
      <c r="N52" s="18">
        <f>IF(L52="","",L52*J52)</f>
        <v/>
      </c>
      <c r="O52" s="25">
        <f>IF(D52="","",D52+(1000-ROW())/10000000)</f>
        <v/>
      </c>
    </row>
    <row r="53">
      <c r="B53" s="22" t="n"/>
      <c r="C53" s="23" t="n"/>
      <c r="D53" s="23" t="n"/>
      <c r="E53" s="24" t="n"/>
      <c r="F53" s="24" t="n"/>
      <c r="G53" s="24" t="n"/>
      <c r="H53" s="17">
        <f>IF(OR(B53="",C53=""),"",IF(D53="","Pendiente",IF(D53&gt;=Escalas!$D$5,"Superada","Suspensa")))</f>
        <v/>
      </c>
      <c r="I53" s="17">
        <f>IF(OR(H53="",D53=""),"",VLOOKUP(D53,Escalas!$B$12:$E$16,2,TRUE))</f>
        <v/>
      </c>
      <c r="J53" s="18">
        <f>IF(OR(H53="",D53=""),"",VLOOKUP(D53,Escalas!$B$12:$E$16,3,TRUE))</f>
        <v/>
      </c>
      <c r="K53" s="18">
        <f>IF(H53="","",IF(H53="Superada",C53,0))</f>
        <v/>
      </c>
      <c r="L53" s="18">
        <f>IF(OR(H53="",D53=""),"",IF(OR(H53="Superada",Escalas!$D$7="Sí"),C53,0))</f>
        <v/>
      </c>
      <c r="M53" s="18">
        <f>IF(L53="","",L53*D53)</f>
        <v/>
      </c>
      <c r="N53" s="18">
        <f>IF(L53="","",L53*J53)</f>
        <v/>
      </c>
      <c r="O53" s="25">
        <f>IF(D53="","",D53+(1000-ROW())/10000000)</f>
        <v/>
      </c>
    </row>
    <row r="54">
      <c r="B54" s="22" t="n"/>
      <c r="C54" s="23" t="n"/>
      <c r="D54" s="23" t="n"/>
      <c r="E54" s="24" t="n"/>
      <c r="F54" s="24" t="n"/>
      <c r="G54" s="24" t="n"/>
      <c r="H54" s="17">
        <f>IF(OR(B54="",C54=""),"",IF(D54="","Pendiente",IF(D54&gt;=Escalas!$D$5,"Superada","Suspensa")))</f>
        <v/>
      </c>
      <c r="I54" s="17">
        <f>IF(OR(H54="",D54=""),"",VLOOKUP(D54,Escalas!$B$12:$E$16,2,TRUE))</f>
        <v/>
      </c>
      <c r="J54" s="18">
        <f>IF(OR(H54="",D54=""),"",VLOOKUP(D54,Escalas!$B$12:$E$16,3,TRUE))</f>
        <v/>
      </c>
      <c r="K54" s="18">
        <f>IF(H54="","",IF(H54="Superada",C54,0))</f>
        <v/>
      </c>
      <c r="L54" s="18">
        <f>IF(OR(H54="",D54=""),"",IF(OR(H54="Superada",Escalas!$D$7="Sí"),C54,0))</f>
        <v/>
      </c>
      <c r="M54" s="18">
        <f>IF(L54="","",L54*D54)</f>
        <v/>
      </c>
      <c r="N54" s="18">
        <f>IF(L54="","",L54*J54)</f>
        <v/>
      </c>
      <c r="O54" s="25">
        <f>IF(D54="","",D54+(1000-ROW())/10000000)</f>
        <v/>
      </c>
    </row>
    <row r="55">
      <c r="B55" s="22" t="n"/>
      <c r="C55" s="23" t="n"/>
      <c r="D55" s="23" t="n"/>
      <c r="E55" s="24" t="n"/>
      <c r="F55" s="24" t="n"/>
      <c r="G55" s="24" t="n"/>
      <c r="H55" s="17">
        <f>IF(OR(B55="",C55=""),"",IF(D55="","Pendiente",IF(D55&gt;=Escalas!$D$5,"Superada","Suspensa")))</f>
        <v/>
      </c>
      <c r="I55" s="17">
        <f>IF(OR(H55="",D55=""),"",VLOOKUP(D55,Escalas!$B$12:$E$16,2,TRUE))</f>
        <v/>
      </c>
      <c r="J55" s="18">
        <f>IF(OR(H55="",D55=""),"",VLOOKUP(D55,Escalas!$B$12:$E$16,3,TRUE))</f>
        <v/>
      </c>
      <c r="K55" s="18">
        <f>IF(H55="","",IF(H55="Superada",C55,0))</f>
        <v/>
      </c>
      <c r="L55" s="18">
        <f>IF(OR(H55="",D55=""),"",IF(OR(H55="Superada",Escalas!$D$7="Sí"),C55,0))</f>
        <v/>
      </c>
      <c r="M55" s="18">
        <f>IF(L55="","",L55*D55)</f>
        <v/>
      </c>
      <c r="N55" s="18">
        <f>IF(L55="","",L55*J55)</f>
        <v/>
      </c>
      <c r="O55" s="25">
        <f>IF(D55="","",D55+(1000-ROW())/10000000)</f>
        <v/>
      </c>
    </row>
    <row r="56">
      <c r="B56" s="22" t="n"/>
      <c r="C56" s="23" t="n"/>
      <c r="D56" s="23" t="n"/>
      <c r="E56" s="24" t="n"/>
      <c r="F56" s="24" t="n"/>
      <c r="G56" s="24" t="n"/>
      <c r="H56" s="17">
        <f>IF(OR(B56="",C56=""),"",IF(D56="","Pendiente",IF(D56&gt;=Escalas!$D$5,"Superada","Suspensa")))</f>
        <v/>
      </c>
      <c r="I56" s="17">
        <f>IF(OR(H56="",D56=""),"",VLOOKUP(D56,Escalas!$B$12:$E$16,2,TRUE))</f>
        <v/>
      </c>
      <c r="J56" s="18">
        <f>IF(OR(H56="",D56=""),"",VLOOKUP(D56,Escalas!$B$12:$E$16,3,TRUE))</f>
        <v/>
      </c>
      <c r="K56" s="18">
        <f>IF(H56="","",IF(H56="Superada",C56,0))</f>
        <v/>
      </c>
      <c r="L56" s="18">
        <f>IF(OR(H56="",D56=""),"",IF(OR(H56="Superada",Escalas!$D$7="Sí"),C56,0))</f>
        <v/>
      </c>
      <c r="M56" s="18">
        <f>IF(L56="","",L56*D56)</f>
        <v/>
      </c>
      <c r="N56" s="18">
        <f>IF(L56="","",L56*J56)</f>
        <v/>
      </c>
      <c r="O56" s="25">
        <f>IF(D56="","",D56+(1000-ROW())/10000000)</f>
        <v/>
      </c>
    </row>
    <row r="57">
      <c r="B57" s="22" t="n"/>
      <c r="C57" s="23" t="n"/>
      <c r="D57" s="23" t="n"/>
      <c r="E57" s="24" t="n"/>
      <c r="F57" s="24" t="n"/>
      <c r="G57" s="24" t="n"/>
      <c r="H57" s="17">
        <f>IF(OR(B57="",C57=""),"",IF(D57="","Pendiente",IF(D57&gt;=Escalas!$D$5,"Superada","Suspensa")))</f>
        <v/>
      </c>
      <c r="I57" s="17">
        <f>IF(OR(H57="",D57=""),"",VLOOKUP(D57,Escalas!$B$12:$E$16,2,TRUE))</f>
        <v/>
      </c>
      <c r="J57" s="18">
        <f>IF(OR(H57="",D57=""),"",VLOOKUP(D57,Escalas!$B$12:$E$16,3,TRUE))</f>
        <v/>
      </c>
      <c r="K57" s="18">
        <f>IF(H57="","",IF(H57="Superada",C57,0))</f>
        <v/>
      </c>
      <c r="L57" s="18">
        <f>IF(OR(H57="",D57=""),"",IF(OR(H57="Superada",Escalas!$D$7="Sí"),C57,0))</f>
        <v/>
      </c>
      <c r="M57" s="18">
        <f>IF(L57="","",L57*D57)</f>
        <v/>
      </c>
      <c r="N57" s="18">
        <f>IF(L57="","",L57*J57)</f>
        <v/>
      </c>
      <c r="O57" s="25">
        <f>IF(D57="","",D57+(1000-ROW())/10000000)</f>
        <v/>
      </c>
    </row>
    <row r="58">
      <c r="B58" s="22" t="n"/>
      <c r="C58" s="23" t="n"/>
      <c r="D58" s="23" t="n"/>
      <c r="E58" s="24" t="n"/>
      <c r="F58" s="24" t="n"/>
      <c r="G58" s="24" t="n"/>
      <c r="H58" s="17">
        <f>IF(OR(B58="",C58=""),"",IF(D58="","Pendiente",IF(D58&gt;=Escalas!$D$5,"Superada","Suspensa")))</f>
        <v/>
      </c>
      <c r="I58" s="17">
        <f>IF(OR(H58="",D58=""),"",VLOOKUP(D58,Escalas!$B$12:$E$16,2,TRUE))</f>
        <v/>
      </c>
      <c r="J58" s="18">
        <f>IF(OR(H58="",D58=""),"",VLOOKUP(D58,Escalas!$B$12:$E$16,3,TRUE))</f>
        <v/>
      </c>
      <c r="K58" s="18">
        <f>IF(H58="","",IF(H58="Superada",C58,0))</f>
        <v/>
      </c>
      <c r="L58" s="18">
        <f>IF(OR(H58="",D58=""),"",IF(OR(H58="Superada",Escalas!$D$7="Sí"),C58,0))</f>
        <v/>
      </c>
      <c r="M58" s="18">
        <f>IF(L58="","",L58*D58)</f>
        <v/>
      </c>
      <c r="N58" s="18">
        <f>IF(L58="","",L58*J58)</f>
        <v/>
      </c>
      <c r="O58" s="25">
        <f>IF(D58="","",D58+(1000-ROW())/10000000)</f>
        <v/>
      </c>
    </row>
    <row r="59">
      <c r="B59" s="22" t="n"/>
      <c r="C59" s="23" t="n"/>
      <c r="D59" s="23" t="n"/>
      <c r="E59" s="24" t="n"/>
      <c r="F59" s="24" t="n"/>
      <c r="G59" s="24" t="n"/>
      <c r="H59" s="17">
        <f>IF(OR(B59="",C59=""),"",IF(D59="","Pendiente",IF(D59&gt;=Escalas!$D$5,"Superada","Suspensa")))</f>
        <v/>
      </c>
      <c r="I59" s="17">
        <f>IF(OR(H59="",D59=""),"",VLOOKUP(D59,Escalas!$B$12:$E$16,2,TRUE))</f>
        <v/>
      </c>
      <c r="J59" s="18">
        <f>IF(OR(H59="",D59=""),"",VLOOKUP(D59,Escalas!$B$12:$E$16,3,TRUE))</f>
        <v/>
      </c>
      <c r="K59" s="18">
        <f>IF(H59="","",IF(H59="Superada",C59,0))</f>
        <v/>
      </c>
      <c r="L59" s="18">
        <f>IF(OR(H59="",D59=""),"",IF(OR(H59="Superada",Escalas!$D$7="Sí"),C59,0))</f>
        <v/>
      </c>
      <c r="M59" s="18">
        <f>IF(L59="","",L59*D59)</f>
        <v/>
      </c>
      <c r="N59" s="18">
        <f>IF(L59="","",L59*J59)</f>
        <v/>
      </c>
      <c r="O59" s="25">
        <f>IF(D59="","",D59+(1000-ROW())/10000000)</f>
        <v/>
      </c>
    </row>
    <row r="60">
      <c r="B60" s="22" t="n"/>
      <c r="C60" s="23" t="n"/>
      <c r="D60" s="23" t="n"/>
      <c r="E60" s="24" t="n"/>
      <c r="F60" s="24" t="n"/>
      <c r="G60" s="24" t="n"/>
      <c r="H60" s="17">
        <f>IF(OR(B60="",C60=""),"",IF(D60="","Pendiente",IF(D60&gt;=Escalas!$D$5,"Superada","Suspensa")))</f>
        <v/>
      </c>
      <c r="I60" s="17">
        <f>IF(OR(H60="",D60=""),"",VLOOKUP(D60,Escalas!$B$12:$E$16,2,TRUE))</f>
        <v/>
      </c>
      <c r="J60" s="18">
        <f>IF(OR(H60="",D60=""),"",VLOOKUP(D60,Escalas!$B$12:$E$16,3,TRUE))</f>
        <v/>
      </c>
      <c r="K60" s="18">
        <f>IF(H60="","",IF(H60="Superada",C60,0))</f>
        <v/>
      </c>
      <c r="L60" s="18">
        <f>IF(OR(H60="",D60=""),"",IF(OR(H60="Superada",Escalas!$D$7="Sí"),C60,0))</f>
        <v/>
      </c>
      <c r="M60" s="18">
        <f>IF(L60="","",L60*D60)</f>
        <v/>
      </c>
      <c r="N60" s="18">
        <f>IF(L60="","",L60*J60)</f>
        <v/>
      </c>
      <c r="O60" s="25">
        <f>IF(D60="","",D60+(1000-ROW())/10000000)</f>
        <v/>
      </c>
    </row>
    <row r="61">
      <c r="B61" s="22" t="n"/>
      <c r="C61" s="23" t="n"/>
      <c r="D61" s="23" t="n"/>
      <c r="E61" s="24" t="n"/>
      <c r="F61" s="24" t="n"/>
      <c r="G61" s="24" t="n"/>
      <c r="H61" s="17">
        <f>IF(OR(B61="",C61=""),"",IF(D61="","Pendiente",IF(D61&gt;=Escalas!$D$5,"Superada","Suspensa")))</f>
        <v/>
      </c>
      <c r="I61" s="17">
        <f>IF(OR(H61="",D61=""),"",VLOOKUP(D61,Escalas!$B$12:$E$16,2,TRUE))</f>
        <v/>
      </c>
      <c r="J61" s="18">
        <f>IF(OR(H61="",D61=""),"",VLOOKUP(D61,Escalas!$B$12:$E$16,3,TRUE))</f>
        <v/>
      </c>
      <c r="K61" s="18">
        <f>IF(H61="","",IF(H61="Superada",C61,0))</f>
        <v/>
      </c>
      <c r="L61" s="18">
        <f>IF(OR(H61="",D61=""),"",IF(OR(H61="Superada",Escalas!$D$7="Sí"),C61,0))</f>
        <v/>
      </c>
      <c r="M61" s="18">
        <f>IF(L61="","",L61*D61)</f>
        <v/>
      </c>
      <c r="N61" s="18">
        <f>IF(L61="","",L61*J61)</f>
        <v/>
      </c>
      <c r="O61" s="25">
        <f>IF(D61="","",D61+(1000-ROW())/10000000)</f>
        <v/>
      </c>
    </row>
    <row r="62">
      <c r="B62" s="22" t="n"/>
      <c r="C62" s="23" t="n"/>
      <c r="D62" s="23" t="n"/>
      <c r="E62" s="24" t="n"/>
      <c r="F62" s="24" t="n"/>
      <c r="G62" s="24" t="n"/>
      <c r="H62" s="17">
        <f>IF(OR(B62="",C62=""),"",IF(D62="","Pendiente",IF(D62&gt;=Escalas!$D$5,"Superada","Suspensa")))</f>
        <v/>
      </c>
      <c r="I62" s="17">
        <f>IF(OR(H62="",D62=""),"",VLOOKUP(D62,Escalas!$B$12:$E$16,2,TRUE))</f>
        <v/>
      </c>
      <c r="J62" s="18">
        <f>IF(OR(H62="",D62=""),"",VLOOKUP(D62,Escalas!$B$12:$E$16,3,TRUE))</f>
        <v/>
      </c>
      <c r="K62" s="18">
        <f>IF(H62="","",IF(H62="Superada",C62,0))</f>
        <v/>
      </c>
      <c r="L62" s="18">
        <f>IF(OR(H62="",D62=""),"",IF(OR(H62="Superada",Escalas!$D$7="Sí"),C62,0))</f>
        <v/>
      </c>
      <c r="M62" s="18">
        <f>IF(L62="","",L62*D62)</f>
        <v/>
      </c>
      <c r="N62" s="18">
        <f>IF(L62="","",L62*J62)</f>
        <v/>
      </c>
      <c r="O62" s="25">
        <f>IF(D62="","",D62+(1000-ROW())/10000000)</f>
        <v/>
      </c>
    </row>
    <row r="63">
      <c r="B63" s="22" t="n"/>
      <c r="C63" s="23" t="n"/>
      <c r="D63" s="23" t="n"/>
      <c r="E63" s="24" t="n"/>
      <c r="F63" s="24" t="n"/>
      <c r="G63" s="24" t="n"/>
      <c r="H63" s="17">
        <f>IF(OR(B63="",C63=""),"",IF(D63="","Pendiente",IF(D63&gt;=Escalas!$D$5,"Superada","Suspensa")))</f>
        <v/>
      </c>
      <c r="I63" s="17">
        <f>IF(OR(H63="",D63=""),"",VLOOKUP(D63,Escalas!$B$12:$E$16,2,TRUE))</f>
        <v/>
      </c>
      <c r="J63" s="18">
        <f>IF(OR(H63="",D63=""),"",VLOOKUP(D63,Escalas!$B$12:$E$16,3,TRUE))</f>
        <v/>
      </c>
      <c r="K63" s="18">
        <f>IF(H63="","",IF(H63="Superada",C63,0))</f>
        <v/>
      </c>
      <c r="L63" s="18">
        <f>IF(OR(H63="",D63=""),"",IF(OR(H63="Superada",Escalas!$D$7="Sí"),C63,0))</f>
        <v/>
      </c>
      <c r="M63" s="18">
        <f>IF(L63="","",L63*D63)</f>
        <v/>
      </c>
      <c r="N63" s="18">
        <f>IF(L63="","",L63*J63)</f>
        <v/>
      </c>
      <c r="O63" s="25">
        <f>IF(D63="","",D63+(1000-ROW())/10000000)</f>
        <v/>
      </c>
    </row>
    <row r="64">
      <c r="B64" s="22" t="n"/>
      <c r="C64" s="23" t="n"/>
      <c r="D64" s="23" t="n"/>
      <c r="E64" s="24" t="n"/>
      <c r="F64" s="24" t="n"/>
      <c r="G64" s="24" t="n"/>
      <c r="H64" s="17">
        <f>IF(OR(B64="",C64=""),"",IF(D64="","Pendiente",IF(D64&gt;=Escalas!$D$5,"Superada","Suspensa")))</f>
        <v/>
      </c>
      <c r="I64" s="17">
        <f>IF(OR(H64="",D64=""),"",VLOOKUP(D64,Escalas!$B$12:$E$16,2,TRUE))</f>
        <v/>
      </c>
      <c r="J64" s="18">
        <f>IF(OR(H64="",D64=""),"",VLOOKUP(D64,Escalas!$B$12:$E$16,3,TRUE))</f>
        <v/>
      </c>
      <c r="K64" s="18">
        <f>IF(H64="","",IF(H64="Superada",C64,0))</f>
        <v/>
      </c>
      <c r="L64" s="18">
        <f>IF(OR(H64="",D64=""),"",IF(OR(H64="Superada",Escalas!$D$7="Sí"),C64,0))</f>
        <v/>
      </c>
      <c r="M64" s="18">
        <f>IF(L64="","",L64*D64)</f>
        <v/>
      </c>
      <c r="N64" s="18">
        <f>IF(L64="","",L64*J64)</f>
        <v/>
      </c>
      <c r="O64" s="25">
        <f>IF(D64="","",D64+(1000-ROW())/10000000)</f>
        <v/>
      </c>
    </row>
    <row r="65">
      <c r="B65" s="22" t="n"/>
      <c r="C65" s="23" t="n"/>
      <c r="D65" s="23" t="n"/>
      <c r="E65" s="24" t="n"/>
      <c r="F65" s="24" t="n"/>
      <c r="G65" s="24" t="n"/>
      <c r="H65" s="17">
        <f>IF(OR(B65="",C65=""),"",IF(D65="","Pendiente",IF(D65&gt;=Escalas!$D$5,"Superada","Suspensa")))</f>
        <v/>
      </c>
      <c r="I65" s="17">
        <f>IF(OR(H65="",D65=""),"",VLOOKUP(D65,Escalas!$B$12:$E$16,2,TRUE))</f>
        <v/>
      </c>
      <c r="J65" s="18">
        <f>IF(OR(H65="",D65=""),"",VLOOKUP(D65,Escalas!$B$12:$E$16,3,TRUE))</f>
        <v/>
      </c>
      <c r="K65" s="18">
        <f>IF(H65="","",IF(H65="Superada",C65,0))</f>
        <v/>
      </c>
      <c r="L65" s="18">
        <f>IF(OR(H65="",D65=""),"",IF(OR(H65="Superada",Escalas!$D$7="Sí"),C65,0))</f>
        <v/>
      </c>
      <c r="M65" s="18">
        <f>IF(L65="","",L65*D65)</f>
        <v/>
      </c>
      <c r="N65" s="18">
        <f>IF(L65="","",L65*J65)</f>
        <v/>
      </c>
      <c r="O65" s="25">
        <f>IF(D65="","",D65+(1000-ROW())/10000000)</f>
        <v/>
      </c>
    </row>
    <row r="66">
      <c r="B66" s="22" t="n"/>
      <c r="C66" s="23" t="n"/>
      <c r="D66" s="23" t="n"/>
      <c r="E66" s="24" t="n"/>
      <c r="F66" s="24" t="n"/>
      <c r="G66" s="24" t="n"/>
      <c r="H66" s="17">
        <f>IF(OR(B66="",C66=""),"",IF(D66="","Pendiente",IF(D66&gt;=Escalas!$D$5,"Superada","Suspensa")))</f>
        <v/>
      </c>
      <c r="I66" s="17">
        <f>IF(OR(H66="",D66=""),"",VLOOKUP(D66,Escalas!$B$12:$E$16,2,TRUE))</f>
        <v/>
      </c>
      <c r="J66" s="18">
        <f>IF(OR(H66="",D66=""),"",VLOOKUP(D66,Escalas!$B$12:$E$16,3,TRUE))</f>
        <v/>
      </c>
      <c r="K66" s="18">
        <f>IF(H66="","",IF(H66="Superada",C66,0))</f>
        <v/>
      </c>
      <c r="L66" s="18">
        <f>IF(OR(H66="",D66=""),"",IF(OR(H66="Superada",Escalas!$D$7="Sí"),C66,0))</f>
        <v/>
      </c>
      <c r="M66" s="18">
        <f>IF(L66="","",L66*D66)</f>
        <v/>
      </c>
      <c r="N66" s="18">
        <f>IF(L66="","",L66*J66)</f>
        <v/>
      </c>
      <c r="O66" s="25">
        <f>IF(D66="","",D66+(1000-ROW())/10000000)</f>
        <v/>
      </c>
    </row>
    <row r="67">
      <c r="B67" s="22" t="n"/>
      <c r="C67" s="23" t="n"/>
      <c r="D67" s="23" t="n"/>
      <c r="E67" s="24" t="n"/>
      <c r="F67" s="24" t="n"/>
      <c r="G67" s="24" t="n"/>
      <c r="H67" s="17">
        <f>IF(OR(B67="",C67=""),"",IF(D67="","Pendiente",IF(D67&gt;=Escalas!$D$5,"Superada","Suspensa")))</f>
        <v/>
      </c>
      <c r="I67" s="17">
        <f>IF(OR(H67="",D67=""),"",VLOOKUP(D67,Escalas!$B$12:$E$16,2,TRUE))</f>
        <v/>
      </c>
      <c r="J67" s="18">
        <f>IF(OR(H67="",D67=""),"",VLOOKUP(D67,Escalas!$B$12:$E$16,3,TRUE))</f>
        <v/>
      </c>
      <c r="K67" s="18">
        <f>IF(H67="","",IF(H67="Superada",C67,0))</f>
        <v/>
      </c>
      <c r="L67" s="18">
        <f>IF(OR(H67="",D67=""),"",IF(OR(H67="Superada",Escalas!$D$7="Sí"),C67,0))</f>
        <v/>
      </c>
      <c r="M67" s="18">
        <f>IF(L67="","",L67*D67)</f>
        <v/>
      </c>
      <c r="N67" s="18">
        <f>IF(L67="","",L67*J67)</f>
        <v/>
      </c>
      <c r="O67" s="25">
        <f>IF(D67="","",D67+(1000-ROW())/10000000)</f>
        <v/>
      </c>
    </row>
    <row r="68">
      <c r="B68" s="26" t="inlineStr">
        <is>
          <t>Totales / media</t>
        </is>
      </c>
      <c r="C68" s="27">
        <f>SUM(C8:C67)</f>
        <v/>
      </c>
      <c r="D68" s="28">
        <f>IFERROR(SUM(M8:M67)/SUM(L8:L67),"-")</f>
        <v/>
      </c>
      <c r="E68" s="26" t="inlineStr"/>
      <c r="F68" s="26" t="inlineStr"/>
      <c r="G68" s="26" t="inlineStr"/>
      <c r="H68" s="26" t="inlineStr"/>
      <c r="I68" s="26" t="inlineStr"/>
      <c r="J68" s="28">
        <f>IFERROR(SUM(N8:N67)/SUM(L8:L67),"-")</f>
        <v/>
      </c>
      <c r="K68" s="27">
        <f>SUM(K8:K67)</f>
        <v/>
      </c>
      <c r="L68" s="27">
        <f>SUM(L8:L67)</f>
        <v/>
      </c>
      <c r="M68" s="27">
        <f>SUM(M8:M67)</f>
        <v/>
      </c>
      <c r="N68" s="27">
        <f>SUM(N8:N67)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H8:H67">
    <cfRule type="cellIs" priority="1" operator="equal" dxfId="0">
      <formula>"Suspensa"</formula>
    </cfRule>
    <cfRule type="cellIs" priority="2" operator="equal" dxfId="1">
      <formula>"Superada"</formula>
    </cfRule>
    <cfRule type="cellIs" priority="3" operator="equal" dxfId="2">
      <formula>"Pendiente"</formula>
    </cfRule>
  </conditionalFormatting>
  <conditionalFormatting sqref="D8:D67">
    <cfRule type="expression" priority="4" dxfId="0">
      <formula>AND(ISNUMBER($D8),$D8&lt;Escalas!$D$5)</formula>
    </cfRule>
  </conditionalFormatting>
  <conditionalFormatting sqref="C8:C67">
    <cfRule type="dataBar" priority="5">
      <dataBar>
        <cfvo type="num" val="0"/>
        <cfvo type="max"/>
        <color rgb="0034D399"/>
      </dataBar>
    </cfRule>
  </conditionalFormatting>
  <dataValidations count="5">
    <dataValidation sqref="E8:E67" showDropDown="0" showInputMessage="0" showErrorMessage="0" allowBlank="1" type="list">
      <formula1>=Listas!$A$2:$A$7</formula1>
    </dataValidation>
    <dataValidation sqref="F8:F67" showDropDown="0" showInputMessage="0" showErrorMessage="0" allowBlank="1" type="list">
      <formula1>=Listas!$B$2:$B$4</formula1>
    </dataValidation>
    <dataValidation sqref="G8:G67" showDropDown="0" showInputMessage="0" showErrorMessage="0" allowBlank="1" type="list">
      <formula1>=Listas!$C$2:$C$6</formula1>
    </dataValidation>
    <dataValidation sqref="D8:D67" showDropDown="0" showInputMessage="0" showErrorMessage="1" allowBlank="1" errorTitle="Nota" error="Introduce una nota entre 0 y 10." type="decimal" operator="between">
      <formula1>0</formula1>
      <formula2>10</formula2>
    </dataValidation>
    <dataValidation sqref="C8:C67" showDropDown="0" showInputMessage="0" showErrorMessage="1" allowBlank="1" errorTitle="ECTS" error="Los créditos ECTS deben estar entre 0 y 60." type="decimal" operator="between">
      <formula1>0</formula1>
      <formula2>60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J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4" customWidth="1" min="3" max="3"/>
    <col width="14" customWidth="1" min="4" max="4"/>
    <col width="14" customWidth="1" min="5" max="5"/>
    <col width="12" customWidth="1" min="6" max="6"/>
    <col width="14" customWidth="1" min="7" max="7"/>
    <col width="12" customWidth="1" min="8" max="8"/>
    <col width="12" customWidth="1" min="9" max="9"/>
    <col width="12" customWidth="1" min="10" max="10"/>
  </cols>
  <sheetData>
    <row r="2" ht="34" customHeight="1">
      <c r="B2" s="1" t="inlineStr">
        <is>
          <t>Expediente por curso y por tipo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Créditos superados, pendientes y nota media de cada curso. Los cursos deben coincidir con los de la hoja «Asignaturas».</t>
        </is>
      </c>
    </row>
    <row r="7" ht="34" customHeight="1">
      <c r="B7" s="15" t="inlineStr">
        <is>
          <t>Curso</t>
        </is>
      </c>
      <c r="C7" s="15" t="inlineStr">
        <is>
          <t>ECTS matriculados</t>
        </is>
      </c>
      <c r="D7" s="15" t="inlineStr">
        <is>
          <t>ECTS superados</t>
        </is>
      </c>
      <c r="E7" s="15" t="inlineStr">
        <is>
          <t>ECTS por superar</t>
        </is>
      </c>
      <c r="F7" s="15" t="inlineStr">
        <is>
          <t>% superado</t>
        </is>
      </c>
      <c r="G7" s="15" t="inlineStr">
        <is>
          <t>Nota media (0-10)</t>
        </is>
      </c>
      <c r="H7" s="15" t="inlineStr">
        <is>
          <t>Media 0-4</t>
        </is>
      </c>
      <c r="I7" s="15" t="inlineStr">
        <is>
          <t>Asig. suspensas</t>
        </is>
      </c>
      <c r="J7" s="15" t="inlineStr">
        <is>
          <t>Asig. pendientes</t>
        </is>
      </c>
    </row>
    <row r="8">
      <c r="B8" s="29" t="inlineStr">
        <is>
          <t>1º</t>
        </is>
      </c>
      <c r="C8" s="18">
        <f>SUMIF(Asignaturas!$E$8:$E$67,B8,Asignaturas!$C$8:$C$67)</f>
        <v/>
      </c>
      <c r="D8" s="18">
        <f>SUMIF(Asignaturas!$E$8:$E$67,B8,Asignaturas!$K$8:$K$67)</f>
        <v/>
      </c>
      <c r="E8" s="18">
        <f>C8-D8</f>
        <v/>
      </c>
      <c r="F8" s="30">
        <f>IF(C8=0,"",D8/C8)</f>
        <v/>
      </c>
      <c r="G8" s="31">
        <f>IFERROR(SUMIF(Asignaturas!$E$8:$E$67,B8,Asignaturas!$M$8:$M$67)/SUMIF(Asignaturas!$E$8:$E$67,B8,Asignaturas!$L$8:$L$67),"")</f>
        <v/>
      </c>
      <c r="H8" s="32">
        <f>IFERROR(SUMIF(Asignaturas!$E$8:$E$67,B8,Asignaturas!$N$8:$N$67)/SUMIF(Asignaturas!$E$8:$E$67,B8,Asignaturas!$L$8:$L$67),"")</f>
        <v/>
      </c>
      <c r="I8" s="33">
        <f>COUNTIFS(Asignaturas!$E$8:$E$67,B8,Asignaturas!$H$8:$H$67,"Suspensa")</f>
        <v/>
      </c>
      <c r="J8" s="33">
        <f>COUNTIFS(Asignaturas!$E$8:$E$67,B8,Asignaturas!$H$8:$H$67,"Pendiente")</f>
        <v/>
      </c>
    </row>
    <row r="9">
      <c r="B9" s="29" t="inlineStr">
        <is>
          <t>2º</t>
        </is>
      </c>
      <c r="C9" s="18">
        <f>SUMIF(Asignaturas!$E$8:$E$67,B9,Asignaturas!$C$8:$C$67)</f>
        <v/>
      </c>
      <c r="D9" s="18">
        <f>SUMIF(Asignaturas!$E$8:$E$67,B9,Asignaturas!$K$8:$K$67)</f>
        <v/>
      </c>
      <c r="E9" s="18">
        <f>C9-D9</f>
        <v/>
      </c>
      <c r="F9" s="30">
        <f>IF(C9=0,"",D9/C9)</f>
        <v/>
      </c>
      <c r="G9" s="31">
        <f>IFERROR(SUMIF(Asignaturas!$E$8:$E$67,B9,Asignaturas!$M$8:$M$67)/SUMIF(Asignaturas!$E$8:$E$67,B9,Asignaturas!$L$8:$L$67),"")</f>
        <v/>
      </c>
      <c r="H9" s="32">
        <f>IFERROR(SUMIF(Asignaturas!$E$8:$E$67,B9,Asignaturas!$N$8:$N$67)/SUMIF(Asignaturas!$E$8:$E$67,B9,Asignaturas!$L$8:$L$67),"")</f>
        <v/>
      </c>
      <c r="I9" s="33">
        <f>COUNTIFS(Asignaturas!$E$8:$E$67,B9,Asignaturas!$H$8:$H$67,"Suspensa")</f>
        <v/>
      </c>
      <c r="J9" s="33">
        <f>COUNTIFS(Asignaturas!$E$8:$E$67,B9,Asignaturas!$H$8:$H$67,"Pendiente")</f>
        <v/>
      </c>
    </row>
    <row r="10">
      <c r="B10" s="29" t="inlineStr">
        <is>
          <t>3º</t>
        </is>
      </c>
      <c r="C10" s="18">
        <f>SUMIF(Asignaturas!$E$8:$E$67,B10,Asignaturas!$C$8:$C$67)</f>
        <v/>
      </c>
      <c r="D10" s="18">
        <f>SUMIF(Asignaturas!$E$8:$E$67,B10,Asignaturas!$K$8:$K$67)</f>
        <v/>
      </c>
      <c r="E10" s="18">
        <f>C10-D10</f>
        <v/>
      </c>
      <c r="F10" s="30">
        <f>IF(C10=0,"",D10/C10)</f>
        <v/>
      </c>
      <c r="G10" s="31">
        <f>IFERROR(SUMIF(Asignaturas!$E$8:$E$67,B10,Asignaturas!$M$8:$M$67)/SUMIF(Asignaturas!$E$8:$E$67,B10,Asignaturas!$L$8:$L$67),"")</f>
        <v/>
      </c>
      <c r="H10" s="32">
        <f>IFERROR(SUMIF(Asignaturas!$E$8:$E$67,B10,Asignaturas!$N$8:$N$67)/SUMIF(Asignaturas!$E$8:$E$67,B10,Asignaturas!$L$8:$L$67),"")</f>
        <v/>
      </c>
      <c r="I10" s="33">
        <f>COUNTIFS(Asignaturas!$E$8:$E$67,B10,Asignaturas!$H$8:$H$67,"Suspensa")</f>
        <v/>
      </c>
      <c r="J10" s="33">
        <f>COUNTIFS(Asignaturas!$E$8:$E$67,B10,Asignaturas!$H$8:$H$67,"Pendiente")</f>
        <v/>
      </c>
    </row>
    <row r="11">
      <c r="B11" s="29" t="inlineStr">
        <is>
          <t>4º</t>
        </is>
      </c>
      <c r="C11" s="18">
        <f>SUMIF(Asignaturas!$E$8:$E$67,B11,Asignaturas!$C$8:$C$67)</f>
        <v/>
      </c>
      <c r="D11" s="18">
        <f>SUMIF(Asignaturas!$E$8:$E$67,B11,Asignaturas!$K$8:$K$67)</f>
        <v/>
      </c>
      <c r="E11" s="18">
        <f>C11-D11</f>
        <v/>
      </c>
      <c r="F11" s="30">
        <f>IF(C11=0,"",D11/C11)</f>
        <v/>
      </c>
      <c r="G11" s="31">
        <f>IFERROR(SUMIF(Asignaturas!$E$8:$E$67,B11,Asignaturas!$M$8:$M$67)/SUMIF(Asignaturas!$E$8:$E$67,B11,Asignaturas!$L$8:$L$67),"")</f>
        <v/>
      </c>
      <c r="H11" s="32">
        <f>IFERROR(SUMIF(Asignaturas!$E$8:$E$67,B11,Asignaturas!$N$8:$N$67)/SUMIF(Asignaturas!$E$8:$E$67,B11,Asignaturas!$L$8:$L$67),"")</f>
        <v/>
      </c>
      <c r="I11" s="33">
        <f>COUNTIFS(Asignaturas!$E$8:$E$67,B11,Asignaturas!$H$8:$H$67,"Suspensa")</f>
        <v/>
      </c>
      <c r="J11" s="33">
        <f>COUNTIFS(Asignaturas!$E$8:$E$67,B11,Asignaturas!$H$8:$H$67,"Pendiente")</f>
        <v/>
      </c>
    </row>
    <row r="12">
      <c r="B12" s="29" t="inlineStr">
        <is>
          <t>5º</t>
        </is>
      </c>
      <c r="C12" s="18">
        <f>SUMIF(Asignaturas!$E$8:$E$67,B12,Asignaturas!$C$8:$C$67)</f>
        <v/>
      </c>
      <c r="D12" s="18">
        <f>SUMIF(Asignaturas!$E$8:$E$67,B12,Asignaturas!$K$8:$K$67)</f>
        <v/>
      </c>
      <c r="E12" s="18">
        <f>C12-D12</f>
        <v/>
      </c>
      <c r="F12" s="30">
        <f>IF(C12=0,"",D12/C12)</f>
        <v/>
      </c>
      <c r="G12" s="31">
        <f>IFERROR(SUMIF(Asignaturas!$E$8:$E$67,B12,Asignaturas!$M$8:$M$67)/SUMIF(Asignaturas!$E$8:$E$67,B12,Asignaturas!$L$8:$L$67),"")</f>
        <v/>
      </c>
      <c r="H12" s="32">
        <f>IFERROR(SUMIF(Asignaturas!$E$8:$E$67,B12,Asignaturas!$N$8:$N$67)/SUMIF(Asignaturas!$E$8:$E$67,B12,Asignaturas!$L$8:$L$67),"")</f>
        <v/>
      </c>
      <c r="I12" s="33">
        <f>COUNTIFS(Asignaturas!$E$8:$E$67,B12,Asignaturas!$H$8:$H$67,"Suspensa")</f>
        <v/>
      </c>
      <c r="J12" s="33">
        <f>COUNTIFS(Asignaturas!$E$8:$E$67,B12,Asignaturas!$H$8:$H$67,"Pendiente")</f>
        <v/>
      </c>
    </row>
    <row r="13">
      <c r="B13" s="29" t="inlineStr">
        <is>
          <t>6º</t>
        </is>
      </c>
      <c r="C13" s="18">
        <f>SUMIF(Asignaturas!$E$8:$E$67,B13,Asignaturas!$C$8:$C$67)</f>
        <v/>
      </c>
      <c r="D13" s="18">
        <f>SUMIF(Asignaturas!$E$8:$E$67,B13,Asignaturas!$K$8:$K$67)</f>
        <v/>
      </c>
      <c r="E13" s="18">
        <f>C13-D13</f>
        <v/>
      </c>
      <c r="F13" s="30">
        <f>IF(C13=0,"",D13/C13)</f>
        <v/>
      </c>
      <c r="G13" s="31">
        <f>IFERROR(SUMIF(Asignaturas!$E$8:$E$67,B13,Asignaturas!$M$8:$M$67)/SUMIF(Asignaturas!$E$8:$E$67,B13,Asignaturas!$L$8:$L$67),"")</f>
        <v/>
      </c>
      <c r="H13" s="32">
        <f>IFERROR(SUMIF(Asignaturas!$E$8:$E$67,B13,Asignaturas!$N$8:$N$67)/SUMIF(Asignaturas!$E$8:$E$67,B13,Asignaturas!$L$8:$L$67),"")</f>
        <v/>
      </c>
      <c r="I13" s="33">
        <f>COUNTIFS(Asignaturas!$E$8:$E$67,B13,Asignaturas!$H$8:$H$67,"Suspensa")</f>
        <v/>
      </c>
      <c r="J13" s="33">
        <f>COUNTIFS(Asignaturas!$E$8:$E$67,B13,Asignaturas!$H$8:$H$67,"Pendiente")</f>
        <v/>
      </c>
    </row>
    <row r="14">
      <c r="B14" s="26" t="inlineStr">
        <is>
          <t>Total</t>
        </is>
      </c>
      <c r="C14" s="27">
        <f>SUM(C8:C13)</f>
        <v/>
      </c>
      <c r="D14" s="27">
        <f>SUM(D8:D13)</f>
        <v/>
      </c>
      <c r="E14" s="27">
        <f>SUM(E8:E13)</f>
        <v/>
      </c>
      <c r="F14" s="34">
        <f>IF(C14=0,"",D14/C14)</f>
        <v/>
      </c>
      <c r="G14" s="28">
        <f>IFERROR(SUM(Asignaturas!$M$8:$M$67)/SUM(Asignaturas!$L$8:$L$67),"-")</f>
        <v/>
      </c>
      <c r="H14" s="28">
        <f>IFERROR(SUM(Asignaturas!$N$8:$N$67)/SUM(Asignaturas!$L$8:$L$67),"-")</f>
        <v/>
      </c>
      <c r="I14" s="35">
        <f>SUM(I8:I13)</f>
        <v/>
      </c>
      <c r="J14" s="35">
        <f>SUM(J8:J13)</f>
        <v/>
      </c>
    </row>
    <row r="16">
      <c r="B16" s="14" t="inlineStr">
        <is>
          <t>ECTS Y NOTA POR TIPO DE ASIGNATURA</t>
        </is>
      </c>
    </row>
    <row r="17" ht="34" customHeight="1">
      <c r="B17" s="15" t="inlineStr">
        <is>
          <t>Tipo</t>
        </is>
      </c>
      <c r="C17" s="15" t="inlineStr">
        <is>
          <t>Asignaturas</t>
        </is>
      </c>
      <c r="D17" s="15" t="inlineStr">
        <is>
          <t>ECTS matriculados</t>
        </is>
      </c>
      <c r="E17" s="15" t="inlineStr">
        <is>
          <t>ECTS superados</t>
        </is>
      </c>
      <c r="F17" s="15" t="inlineStr">
        <is>
          <t>% de los ECTS</t>
        </is>
      </c>
      <c r="G17" s="15" t="inlineStr">
        <is>
          <t>Nota media (0-10)</t>
        </is>
      </c>
    </row>
    <row r="18">
      <c r="B18" s="36" t="inlineStr">
        <is>
          <t>Formación básica</t>
        </is>
      </c>
      <c r="C18" s="33">
        <f>COUNTIF(Asignaturas!$G$8:$G$67,B18)</f>
        <v/>
      </c>
      <c r="D18" s="18">
        <f>SUMIF(Asignaturas!$G$8:$G$67,B18,Asignaturas!$C$8:$C$67)</f>
        <v/>
      </c>
      <c r="E18" s="18">
        <f>SUMIF(Asignaturas!$G$8:$G$67,B18,Asignaturas!$K$8:$K$67)</f>
        <v/>
      </c>
      <c r="F18" s="30">
        <f>IF(SUM($D$18:$D$22)=0,"",D18/SUM($D$18:$D$22))</f>
        <v/>
      </c>
      <c r="G18" s="31">
        <f>IFERROR(SUMIF(Asignaturas!$G$8:$G$67,B18,Asignaturas!$M$8:$M$67)/SUMIF(Asignaturas!$G$8:$G$67,B18,Asignaturas!$L$8:$L$67),"")</f>
        <v/>
      </c>
    </row>
    <row r="19">
      <c r="B19" s="36" t="inlineStr">
        <is>
          <t>Obligatoria</t>
        </is>
      </c>
      <c r="C19" s="33">
        <f>COUNTIF(Asignaturas!$G$8:$G$67,B19)</f>
        <v/>
      </c>
      <c r="D19" s="18">
        <f>SUMIF(Asignaturas!$G$8:$G$67,B19,Asignaturas!$C$8:$C$67)</f>
        <v/>
      </c>
      <c r="E19" s="18">
        <f>SUMIF(Asignaturas!$G$8:$G$67,B19,Asignaturas!$K$8:$K$67)</f>
        <v/>
      </c>
      <c r="F19" s="30">
        <f>IF(SUM($D$18:$D$22)=0,"",D19/SUM($D$18:$D$22))</f>
        <v/>
      </c>
      <c r="G19" s="31">
        <f>IFERROR(SUMIF(Asignaturas!$G$8:$G$67,B19,Asignaturas!$M$8:$M$67)/SUMIF(Asignaturas!$G$8:$G$67,B19,Asignaturas!$L$8:$L$67),"")</f>
        <v/>
      </c>
    </row>
    <row r="20">
      <c r="B20" s="36" t="inlineStr">
        <is>
          <t>Optativa</t>
        </is>
      </c>
      <c r="C20" s="33">
        <f>COUNTIF(Asignaturas!$G$8:$G$67,B20)</f>
        <v/>
      </c>
      <c r="D20" s="18">
        <f>SUMIF(Asignaturas!$G$8:$G$67,B20,Asignaturas!$C$8:$C$67)</f>
        <v/>
      </c>
      <c r="E20" s="18">
        <f>SUMIF(Asignaturas!$G$8:$G$67,B20,Asignaturas!$K$8:$K$67)</f>
        <v/>
      </c>
      <c r="F20" s="30">
        <f>IF(SUM($D$18:$D$22)=0,"",D20/SUM($D$18:$D$22))</f>
        <v/>
      </c>
      <c r="G20" s="31">
        <f>IFERROR(SUMIF(Asignaturas!$G$8:$G$67,B20,Asignaturas!$M$8:$M$67)/SUMIF(Asignaturas!$G$8:$G$67,B20,Asignaturas!$L$8:$L$67),"")</f>
        <v/>
      </c>
    </row>
    <row r="21">
      <c r="B21" s="36" t="inlineStr">
        <is>
          <t>Prácticas</t>
        </is>
      </c>
      <c r="C21" s="33">
        <f>COUNTIF(Asignaturas!$G$8:$G$67,B21)</f>
        <v/>
      </c>
      <c r="D21" s="18">
        <f>SUMIF(Asignaturas!$G$8:$G$67,B21,Asignaturas!$C$8:$C$67)</f>
        <v/>
      </c>
      <c r="E21" s="18">
        <f>SUMIF(Asignaturas!$G$8:$G$67,B21,Asignaturas!$K$8:$K$67)</f>
        <v/>
      </c>
      <c r="F21" s="30">
        <f>IF(SUM($D$18:$D$22)=0,"",D21/SUM($D$18:$D$22))</f>
        <v/>
      </c>
      <c r="G21" s="31">
        <f>IFERROR(SUMIF(Asignaturas!$G$8:$G$67,B21,Asignaturas!$M$8:$M$67)/SUMIF(Asignaturas!$G$8:$G$67,B21,Asignaturas!$L$8:$L$67),"")</f>
        <v/>
      </c>
    </row>
    <row r="22">
      <c r="B22" s="36" t="inlineStr">
        <is>
          <t>TFG</t>
        </is>
      </c>
      <c r="C22" s="33">
        <f>COUNTIF(Asignaturas!$G$8:$G$67,B22)</f>
        <v/>
      </c>
      <c r="D22" s="18">
        <f>SUMIF(Asignaturas!$G$8:$G$67,B22,Asignaturas!$C$8:$C$67)</f>
        <v/>
      </c>
      <c r="E22" s="18">
        <f>SUMIF(Asignaturas!$G$8:$G$67,B22,Asignaturas!$K$8:$K$67)</f>
        <v/>
      </c>
      <c r="F22" s="30">
        <f>IF(SUM($D$18:$D$22)=0,"",D22/SUM($D$18:$D$22))</f>
        <v/>
      </c>
      <c r="G22" s="31">
        <f>IFERROR(SUMIF(Asignaturas!$G$8:$G$67,B22,Asignaturas!$M$8:$M$67)/SUMIF(Asignaturas!$G$8:$G$67,B22,Asignaturas!$L$8:$L$67),"")</f>
        <v/>
      </c>
    </row>
    <row r="23">
      <c r="B23" s="26" t="inlineStr">
        <is>
          <t>Total</t>
        </is>
      </c>
      <c r="C23" s="35">
        <f>SUM(C18:C22)</f>
        <v/>
      </c>
      <c r="D23" s="27">
        <f>SUM(D18:D22)</f>
        <v/>
      </c>
      <c r="E23" s="27">
        <f>SUM(E18:E22)</f>
        <v/>
      </c>
      <c r="F23" s="34">
        <f>SUM(F18:F22)</f>
        <v/>
      </c>
      <c r="G23" s="28">
        <f>IFERROR(SUM(Asignaturas!$M$8:$M$67)/SUM(Asignaturas!$L$8:$L$67),"-")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J3"/>
    <mergeCell ref="B2:J2"/>
  </mergeCells>
  <conditionalFormatting sqref="F8:F13">
    <cfRule type="dataBar" priority="1">
      <dataBar>
        <cfvo type="num" val="0"/>
        <cfvo type="max"/>
        <color rgb="0010B981"/>
      </dataBar>
    </cfRule>
  </conditionalFormatting>
  <conditionalFormatting sqref="I8:I13">
    <cfRule type="expression" priority="2" dxfId="0">
      <formula>I8&gt;0</formula>
    </cfRule>
  </conditionalFormatting>
  <conditionalFormatting sqref="J8:J13">
    <cfRule type="expression" priority="3" dxfId="2">
      <formula>J8&gt;0</formula>
    </cfRule>
  </conditionalFormatting>
  <conditionalFormatting sqref="F18:F22">
    <cfRule type="dataBar" priority="4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E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18" customWidth="1" min="4" max="4"/>
    <col width="18" customWidth="1" min="5" max="5"/>
  </cols>
  <sheetData>
    <row r="2" ht="34" customHeight="1">
      <c r="B2" s="1" t="inlineStr">
        <is>
          <t>Parámetros y escalas</t>
        </is>
      </c>
      <c r="C2" s="2" t="n"/>
      <c r="D2" s="2" t="n"/>
      <c r="E2" s="2" t="n"/>
    </row>
    <row r="3">
      <c r="B3" s="3" t="inlineStr">
        <is>
          <t>Todo lo que cambia de una universidad a otra está aquí: nota de aprobado, créditos del título y tabla de conversión.</t>
        </is>
      </c>
    </row>
    <row r="5">
      <c r="B5" s="9" t="inlineStr">
        <is>
          <t>Nota mínima para aprobar (0-10)</t>
        </is>
      </c>
      <c r="D5" s="23" t="n">
        <v>5</v>
      </c>
    </row>
    <row r="6">
      <c r="B6" s="9" t="inlineStr">
        <is>
          <t>Créditos ECTS totales del título</t>
        </is>
      </c>
      <c r="D6" s="37" t="n">
        <v>240</v>
      </c>
    </row>
    <row r="7">
      <c r="B7" s="9" t="inlineStr">
        <is>
          <t>¿Contar suspensas en la media?</t>
        </is>
      </c>
      <c r="D7" s="24" t="inlineStr">
        <is>
          <t>No</t>
        </is>
      </c>
    </row>
    <row r="8">
      <c r="B8" s="9" t="inlineStr">
        <is>
          <t>Nota media objetivo (0-10)</t>
        </is>
      </c>
      <c r="D8" s="23" t="n">
        <v>7.5</v>
      </c>
    </row>
    <row r="10">
      <c r="B10" s="14" t="inlineStr">
        <is>
          <t>TABLA DE CONVERSIÓN (orientativa y editable)</t>
        </is>
      </c>
    </row>
    <row r="11" ht="28" customHeight="1">
      <c r="B11" s="15" t="inlineStr">
        <is>
          <t>Nota desde (0-10)</t>
        </is>
      </c>
      <c r="C11" s="15" t="inlineStr">
        <is>
          <t>Calificación</t>
        </is>
      </c>
      <c r="D11" s="15" t="inlineStr">
        <is>
          <t>Equivalencia 0-4</t>
        </is>
      </c>
      <c r="E11" s="15" t="inlineStr">
        <is>
          <t>Letra orientativa</t>
        </is>
      </c>
    </row>
    <row r="12">
      <c r="B12" s="23" t="n">
        <v>0</v>
      </c>
      <c r="C12" s="24" t="inlineStr">
        <is>
          <t>Suspenso</t>
        </is>
      </c>
      <c r="D12" s="23" t="n">
        <v>0</v>
      </c>
      <c r="E12" s="24" t="inlineStr">
        <is>
          <t>F</t>
        </is>
      </c>
    </row>
    <row r="13">
      <c r="B13" s="23" t="n">
        <v>5</v>
      </c>
      <c r="C13" s="24" t="inlineStr">
        <is>
          <t>Aprobado</t>
        </is>
      </c>
      <c r="D13" s="23" t="n">
        <v>1</v>
      </c>
      <c r="E13" s="24" t="inlineStr">
        <is>
          <t>D</t>
        </is>
      </c>
    </row>
    <row r="14">
      <c r="B14" s="23" t="n">
        <v>6</v>
      </c>
      <c r="C14" s="24" t="inlineStr">
        <is>
          <t>Aprobado</t>
        </is>
      </c>
      <c r="D14" s="23" t="n">
        <v>2</v>
      </c>
      <c r="E14" s="24" t="inlineStr">
        <is>
          <t>C</t>
        </is>
      </c>
    </row>
    <row r="15">
      <c r="B15" s="23" t="n">
        <v>7</v>
      </c>
      <c r="C15" s="24" t="inlineStr">
        <is>
          <t>Notable</t>
        </is>
      </c>
      <c r="D15" s="23" t="n">
        <v>3</v>
      </c>
      <c r="E15" s="24" t="inlineStr">
        <is>
          <t>B</t>
        </is>
      </c>
    </row>
    <row r="16">
      <c r="B16" s="23" t="n">
        <v>9</v>
      </c>
      <c r="C16" s="24" t="inlineStr">
        <is>
          <t>Sobresaliente</t>
        </is>
      </c>
      <c r="D16" s="23" t="n">
        <v>4</v>
      </c>
      <c r="E16" s="24" t="inlineStr">
        <is>
          <t>A</t>
        </is>
      </c>
    </row>
    <row r="18">
      <c r="B18" s="20" t="inlineStr">
        <is>
          <t>Las filas deben ir ordenadas de menor a mayor nota. Cada nota se asigna a la última fila cuyo «Nota desde» no la supere.</t>
        </is>
      </c>
    </row>
    <row r="19">
      <c r="B19" s="20" t="inlineStr">
        <is>
          <t>La escala 0-4 es solo orientativa: cada universidad o país tiene la suya y no existe una equivalencia oficial única.</t>
        </is>
      </c>
    </row>
    <row r="20">
      <c r="B20" s="20" t="inlineStr">
        <is>
          <t>La matrícula de honor no se calcula: es una mención que concede el profesorado y se anota aparte.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6">
    <mergeCell ref="B6:C6"/>
    <mergeCell ref="B7:C7"/>
    <mergeCell ref="B5:C5"/>
    <mergeCell ref="B3:E3"/>
    <mergeCell ref="B2:E2"/>
    <mergeCell ref="B8:C8"/>
  </mergeCells>
  <dataValidations count="4">
    <dataValidation sqref="D7" showDropDown="0" showInputMessage="0" showErrorMessage="0" allowBlank="1" type="list">
      <formula1>=Listas!$D$2:$D$3</formula1>
    </dataValidation>
    <dataValidation sqref="D5" showDropDown="0" showInputMessage="0" showErrorMessage="1" allowBlank="0" errorTitle="Nota" error="La nota mínima debe estar entre 0 y 10." type="decimal" operator="between">
      <formula1>0</formula1>
      <formula2>10</formula2>
    </dataValidation>
    <dataValidation sqref="D8" showDropDown="0" showInputMessage="0" showErrorMessage="1" allowBlank="0" errorTitle="Nota" error="La nota objetivo debe estar entre 0 y 10." type="decimal" operator="between">
      <formula1>0</formula1>
      <formula2>10</formula2>
    </dataValidation>
    <dataValidation sqref="D6" showDropDown="0" showInputMessage="0" showErrorMessage="1" allowBlank="0" errorTitle="Créditos" error="Escribe un número de créditos entre 1 y 600." type="whole" operator="between">
      <formula1>1</formula1>
      <formula2>600</formula2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Notas universitarias y créditos ECTS · Cómo usarla</t>
        </is>
      </c>
    </row>
    <row r="3">
      <c r="B3" s="3" t="inlineStr">
        <is>
          <t>Plantilla gratuita de Plantillas de Cálculo · plantillasdecalculo.com</t>
        </is>
      </c>
    </row>
    <row r="5">
      <c r="B5" s="14" t="inlineStr">
        <is>
          <t>CÓMO USARLA</t>
        </is>
      </c>
    </row>
    <row r="6" ht="30" customHeight="1">
      <c r="B6" s="38" t="inlineStr">
        <is>
          <t>1.  Empieza por la hoja «Escalas»: indica la nota mínima para aprobar (D5), los ECTS totales de tu título (D6) y tu nota media objetivo (D8).</t>
        </is>
      </c>
    </row>
    <row r="7" ht="30" customHeight="1">
      <c r="B7" s="38" t="inlineStr">
        <is>
          <t>2.  Decide en D7 si las asignaturas suspensas deben contar en la media. Lo habitual en expedientes oficiales es que solo cuenten las superadas («No»).</t>
        </is>
      </c>
    </row>
    <row r="8" ht="30" customHeight="1">
      <c r="B8" s="38" t="inlineStr">
        <is>
          <t>3.  Ve a «Asignaturas» y escribe una fila por asignatura: nombre, ECTS, nota (0-10), curso, cuatrimestre y tipo. Puedes añadir hasta 60 filas.</t>
        </is>
      </c>
    </row>
    <row r="9" ht="30" customHeight="1">
      <c r="B9" s="38" t="inlineStr">
        <is>
          <t>4.  Si la asignatura aún no tiene nota, deja la celda «Nota» vacía: el estado será «Pendiente» y no entrará en la media.</t>
        </is>
      </c>
    </row>
    <row r="10" ht="30" customHeight="1">
      <c r="B10" s="38" t="inlineStr">
        <is>
          <t>5.  Tras cada convocatoria, escribe la nota. El estado pasa a «Superada» o «Suspensa» y se recalculan los créditos y la media sin tocar nada más.</t>
        </is>
      </c>
    </row>
    <row r="11" ht="30" customHeight="1">
      <c r="B11" s="38" t="inlineStr">
        <is>
          <t>6.  Mira «Cursos» para ver créditos superados, pendientes y nota media de cada curso y de cada tipo de asignatura (básica, obligatoria, optativa...).</t>
        </is>
      </c>
    </row>
    <row r="12" ht="30" customHeight="1">
      <c r="B12" s="38" t="inlineStr">
        <is>
          <t>7.  En el «Panel» tienes la nota media ponderada, la media 0-4 orientativa, el % de título superado y la nota que necesitas en lo que falta para llegar a tu objetivo.</t>
        </is>
      </c>
    </row>
    <row r="13" ht="30" customHeight="1">
      <c r="B13" s="38" t="inlineStr">
        <is>
          <t>8.  Si tu universidad usa otra equivalencia, edita la tabla de conversión de «Escalas» (filas 12 a 16, de menor a mayor nota).</t>
        </is>
      </c>
    </row>
    <row r="15">
      <c r="B15" s="14" t="inlineStr">
        <is>
          <t>CONSEJOS</t>
        </is>
      </c>
    </row>
    <row r="16" ht="30" customHeight="1">
      <c r="B16" s="38" t="inlineStr">
        <is>
          <t>•  La nota media es ponderada: cada nota se multiplica por sus ECTS y se divide entre los ECTS computados (suma de ECTS × nota ÷ suma de ECTS).</t>
        </is>
      </c>
    </row>
    <row r="17" ht="30" customHeight="1">
      <c r="B17" s="38" t="inlineStr">
        <is>
          <t>•  «Nota necesaria en lo que falta» supone que apruebas todos los créditos que te quedan hasta completar el total del título. Úsala con «¿Contar suspensas?» en «No».</t>
        </is>
      </c>
    </row>
    <row r="18" ht="30" customHeight="1">
      <c r="B18" s="38" t="inlineStr">
        <is>
          <t>•  Los datos de ejemplo (asignaturas, créditos y notas) son ficticios; bórralos y escribe los tuyos. Las filas hasta la 67 ya tienen fórmulas.</t>
        </is>
      </c>
    </row>
    <row r="19" ht="30" customHeight="1">
      <c r="B19" s="38" t="inlineStr">
        <is>
          <t>•  Las hojas están protegidas sin contraseña para no romper fórmulas: Revisar &gt; Desproteger hoja si quieres modificar algo.</t>
        </is>
      </c>
    </row>
    <row r="20" ht="30" customHeight="1">
      <c r="B20" s="38" t="inlineStr">
        <is>
          <t>•  La columna oculta «Orden (aux.)» de «Asignaturas» y la columna J del Panel sirven para ordenar las mejores notas: no las borres.</t>
        </is>
      </c>
    </row>
    <row r="22">
      <c r="B22" s="20" t="inlineStr">
        <is>
          <t>Las celdas con fondo crema y texto azul son para rellenar; las verdes se calculan solas.</t>
        </is>
      </c>
    </row>
    <row r="24" ht="44" customHeight="1">
      <c r="B24" s="39" t="inlineStr">
        <is>
          <t>Aviso: los resultados son un cálculo orientativo con los datos que tú introduces. La nota media oficial, la matrícula de honor y las equivalencias a otras escalas las fija tu universidad: consulta siempre tu expediente y su normativa.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7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Curso</t>
        </is>
      </c>
      <c r="B1" t="inlineStr">
        <is>
          <t>Cuatrimestre</t>
        </is>
      </c>
      <c r="C1" t="inlineStr">
        <is>
          <t>Tipo</t>
        </is>
      </c>
      <c r="D1" t="inlineStr">
        <is>
          <t>SiNo</t>
        </is>
      </c>
    </row>
    <row r="2">
      <c r="A2" t="inlineStr">
        <is>
          <t>1º</t>
        </is>
      </c>
      <c r="B2" t="inlineStr">
        <is>
          <t>1C</t>
        </is>
      </c>
      <c r="C2" t="inlineStr">
        <is>
          <t>Formación básica</t>
        </is>
      </c>
      <c r="D2" t="inlineStr">
        <is>
          <t>Sí</t>
        </is>
      </c>
    </row>
    <row r="3">
      <c r="A3" t="inlineStr">
        <is>
          <t>2º</t>
        </is>
      </c>
      <c r="B3" t="inlineStr">
        <is>
          <t>2C</t>
        </is>
      </c>
      <c r="C3" t="inlineStr">
        <is>
          <t>Obligatoria</t>
        </is>
      </c>
      <c r="D3" t="inlineStr">
        <is>
          <t>No</t>
        </is>
      </c>
    </row>
    <row r="4">
      <c r="A4" t="inlineStr">
        <is>
          <t>3º</t>
        </is>
      </c>
      <c r="B4" t="inlineStr">
        <is>
          <t>Anual</t>
        </is>
      </c>
      <c r="C4" t="inlineStr">
        <is>
          <t>Optativa</t>
        </is>
      </c>
    </row>
    <row r="5">
      <c r="A5" t="inlineStr">
        <is>
          <t>4º</t>
        </is>
      </c>
      <c r="C5" t="inlineStr">
        <is>
          <t>Prácticas</t>
        </is>
      </c>
    </row>
    <row r="6">
      <c r="A6" t="inlineStr">
        <is>
          <t>5º</t>
        </is>
      </c>
      <c r="C6" t="inlineStr">
        <is>
          <t>TFG</t>
        </is>
      </c>
    </row>
    <row r="7">
      <c r="A7" t="inlineStr">
        <is>
          <t>6º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2026-10-02T13:03:34Z</dcterms:created>
  <dcterms:modified xmlns:dcterms="http://purl.org/dc/terms/" xmlns:xsi="http://www.w3.org/2001/XMLSchema-instance" xsi:type="dcterms:W3CDTF">2026-10-02T13:03:34Z</dcterms:modified>
</cp:coreProperties>
</file>