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Participantes" sheetId="2" state="visible" r:id="rId2"/>
    <sheet xmlns:r="http://schemas.openxmlformats.org/officeDocument/2006/relationships" name="Gastos" sheetId="3" state="visible" r:id="rId3"/>
    <sheet xmlns:r="http://schemas.openxmlformats.org/officeDocument/2006/relationships" name="Viaje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.00 &quot;€&quot;"/>
    <numFmt numFmtId="167" formatCode="0.#"/>
    <numFmt numFmtId="168" formatCode="#,##0.00 &quot;€&quot;;-#,##0.00 &quot;€&quot;;;@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2744A"/>
      <sz val="11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B4A2F"/>
      <sz val="11"/>
    </font>
    <font>
      <name val="Arial"/>
      <color rgb="00111827"/>
      <sz val="10"/>
    </font>
    <font>
      <name val="Arial"/>
      <i val="1"/>
      <color rgb="006B7280"/>
      <sz val="9"/>
    </font>
    <font>
      <name val="Arial"/>
      <color rgb="006B7280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3"/>
    </font>
    <font>
      <name val="Arial"/>
      <color rgb="00FFFFFF"/>
      <sz val="9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3" fillId="6" borderId="0" applyAlignment="1" pivotButton="0" quotePrefix="0" xfId="0">
      <alignment horizontal="center" vertical="center" wrapText="1"/>
    </xf>
    <xf numFmtId="166" fontId="14" fillId="6" borderId="0" applyAlignment="1" pivotButton="0" quotePrefix="0" xfId="0">
      <alignment horizontal="center" vertical="center"/>
    </xf>
    <xf numFmtId="167" fontId="14" fillId="6" borderId="0" applyAlignment="1" pivotButton="0" quotePrefix="0" xfId="0">
      <alignment horizontal="center" vertical="center"/>
    </xf>
    <xf numFmtId="1" fontId="14" fillId="6" borderId="0" applyAlignment="1" pivotButton="0" quotePrefix="0" xfId="0">
      <alignment horizontal="center" vertical="center"/>
    </xf>
    <xf numFmtId="0" fontId="15" fillId="6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7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/>
    </xf>
    <xf numFmtId="166" fontId="6" fillId="0" borderId="1" applyAlignment="1" pivotButton="0" quotePrefix="0" xfId="0">
      <alignment horizontal="right" vertical="center"/>
    </xf>
    <xf numFmtId="166" fontId="8" fillId="0" borderId="1" applyAlignment="1" pivotButton="0" quotePrefix="0" xfId="0">
      <alignment horizontal="right" vertical="center"/>
    </xf>
    <xf numFmtId="0" fontId="16" fillId="0" borderId="1" applyAlignment="1" pivotButton="0" quotePrefix="0" xfId="0">
      <alignment vertical="center"/>
    </xf>
    <xf numFmtId="0" fontId="9" fillId="5" borderId="1" applyAlignment="1" pivotButton="0" quotePrefix="0" xfId="0">
      <alignment vertical="center"/>
    </xf>
    <xf numFmtId="166" fontId="9" fillId="5" borderId="1" applyAlignment="1" pivotButton="0" quotePrefix="0" xfId="0">
      <alignment vertical="center"/>
    </xf>
    <xf numFmtId="0" fontId="11" fillId="0" borderId="1" applyAlignment="1" pivotButton="0" quotePrefix="0" xfId="0">
      <alignment vertical="center"/>
    </xf>
    <xf numFmtId="0" fontId="11" fillId="0" borderId="0" applyAlignment="1" pivotButton="0" quotePrefix="0" xfId="0">
      <alignment horizontal="center" wrapText="1"/>
    </xf>
    <xf numFmtId="1" fontId="8" fillId="0" borderId="1" applyAlignment="1" pivotButton="0" quotePrefix="0" xfId="0">
      <alignment horizontal="center" vertical="center"/>
    </xf>
    <xf numFmtId="0" fontId="5" fillId="3" borderId="1" applyAlignment="1" applyProtection="1" pivotButton="0" quotePrefix="0" xfId="0">
      <alignment vertical="center"/>
      <protection locked="0" hidden="0"/>
    </xf>
    <xf numFmtId="167" fontId="5" fillId="3" borderId="1" applyAlignment="1" applyProtection="1" pivotButton="0" quotePrefix="0" xfId="0">
      <alignment horizontal="center" vertical="center"/>
      <protection locked="0" hidden="0"/>
    </xf>
    <xf numFmtId="166" fontId="5" fillId="3" borderId="1" applyAlignment="1" applyProtection="1" pivotButton="0" quotePrefix="0" xfId="0">
      <alignment horizontal="right" vertical="center"/>
      <protection locked="0" hidden="0"/>
    </xf>
    <xf numFmtId="0" fontId="5" fillId="3" borderId="1" applyAlignment="1" applyProtection="1" pivotButton="0" quotePrefix="0" xfId="0">
      <alignment horizontal="center" vertical="center"/>
      <protection locked="0" hidden="0"/>
    </xf>
    <xf numFmtId="0" fontId="8" fillId="0" borderId="1" applyAlignment="1" pivotButton="0" quotePrefix="0" xfId="0">
      <alignment horizontal="center" vertical="center"/>
    </xf>
    <xf numFmtId="168" fontId="8" fillId="0" borderId="1" applyAlignment="1" pivotButton="0" quotePrefix="0" xfId="0">
      <alignment horizontal="right" vertical="center"/>
    </xf>
    <xf numFmtId="0" fontId="12" fillId="0" borderId="1" applyAlignment="1" pivotButton="0" quotePrefix="0" xfId="0">
      <alignment vertical="center"/>
    </xf>
    <xf numFmtId="167" fontId="9" fillId="5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0" fillId="0" borderId="5" pivotButton="0" quotePrefix="0" xfId="0"/>
    <xf numFmtId="165" fontId="5" fillId="3" borderId="1" applyAlignment="1" applyProtection="1" pivotButton="0" quotePrefix="0" xfId="0">
      <alignment horizontal="center" vertical="center"/>
      <protection locked="0" hidden="0"/>
    </xf>
    <xf numFmtId="167" fontId="8" fillId="0" borderId="1" applyAlignment="1" pivotButton="0" quotePrefix="0" xfId="0">
      <alignment horizontal="center" vertical="center"/>
    </xf>
    <xf numFmtId="166" fontId="8" fillId="0" borderId="1" applyAlignment="1" pivotButton="0" quotePrefix="0" xfId="0">
      <alignment vertical="center"/>
    </xf>
    <xf numFmtId="9" fontId="8" fillId="0" borderId="1" applyAlignment="1" pivotButton="0" quotePrefix="0" xfId="0">
      <alignment horizontal="center" vertical="center"/>
    </xf>
    <xf numFmtId="9" fontId="9" fillId="5" borderId="1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0" fontId="5" fillId="3" borderId="1" applyAlignment="1" applyProtection="1" pivotButton="0" quotePrefix="0" xfId="0">
      <alignment horizontal="left" vertical="center" indent="1"/>
      <protection locked="0" hidden="0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0" fontId="5" fillId="3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1" fontId="6" fillId="0" borderId="1" applyAlignment="1" pivotButton="0" quotePrefix="0" xfId="0">
      <alignment horizontal="center" vertical="center"/>
    </xf>
    <xf numFmtId="1" fontId="5" fillId="3" borderId="1" applyAlignment="1" applyProtection="1" pivotButton="0" quotePrefix="0" xfId="0">
      <alignment horizontal="center" vertical="center"/>
      <protection locked="0" hidden="0"/>
    </xf>
    <xf numFmtId="0" fontId="10" fillId="0" borderId="0" applyAlignment="1" pivotButton="0" quotePrefix="0" xfId="0">
      <alignment horizontal="center" vertical="center"/>
    </xf>
    <xf numFmtId="1" fontId="9" fillId="5" borderId="1" applyAlignment="1" pivotButton="0" quotePrefix="0" xfId="0">
      <alignment vertical="center"/>
    </xf>
    <xf numFmtId="0" fontId="10" fillId="0" borderId="0" applyAlignment="1" pivotButton="0" quotePrefix="0" xfId="0">
      <alignment vertical="center" wrapText="1"/>
    </xf>
    <xf numFmtId="0" fontId="17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neto por persona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'Panel'!I14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'Panel'!$F$15:$F$29</f>
            </numRef>
          </cat>
          <val>
            <numRef>
              <f>'Panel'!$I$15:$I$29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Gastos por categoría</a:t>
            </a:r>
          </a:p>
        </rich>
      </tx>
    </title>
    <plotArea>
      <pieChart>
        <varyColors val="1"/>
        <ser>
          <idx val="0"/>
          <order val="0"/>
          <tx>
            <strRef>
              <f>'Gastos'!M7</f>
            </strRef>
          </tx>
          <spPr>
            <a:ln xmlns:a="http://schemas.openxmlformats.org/drawingml/2006/main">
              <a:prstDash val="solid"/>
            </a:ln>
          </spPr>
          <cat>
            <numRef>
              <f>'Gastos'!$L$8:$L$13</f>
            </numRef>
          </cat>
          <val>
            <numRef>
              <f>'Gastos'!$M$8:$M$13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31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31</row>
      <rowOff>0</rowOff>
    </from>
    <ext cx="41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6" customWidth="1" min="3" max="3"/>
    <col width="14" customWidth="1" min="4" max="4"/>
    <col width="14" customWidth="1" min="5" max="5"/>
    <col width="22" customWidth="1" min="6" max="6"/>
    <col width="14" customWidth="1" min="7" max="7"/>
    <col width="14" customWidth="1" min="8" max="8"/>
    <col width="14" customWidth="1" min="9" max="9"/>
    <col hidden="1" width="8" customWidth="1" min="10" max="10"/>
    <col width="3" customWidth="1" min="11" max="11"/>
  </cols>
  <sheetData>
    <row r="2" ht="34" customHeight="1">
      <c r="B2" s="1" t="inlineStr">
        <is>
          <t>Panel del viaje en grupo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Cuánto se ha gastado, cuánto toca por persona, quién paga a quién, el destino más votado y el estado de las habitaciones.</t>
        </is>
      </c>
    </row>
    <row r="5" ht="32" customHeight="1">
      <c r="B5" s="4" t="inlineStr">
        <is>
          <t>TOTAL GASTADO</t>
        </is>
      </c>
      <c r="C5" s="4" t="inlineStr">
        <is>
          <t>COSTE MEDIO POR PERSONA</t>
        </is>
      </c>
      <c r="E5" s="4" t="inlineStr">
        <is>
          <t>PERSONAS DEL GRUPO</t>
        </is>
      </c>
      <c r="G5" s="4" t="inlineStr">
        <is>
          <t>DINERO EN EL BOTE</t>
        </is>
      </c>
      <c r="I5" s="4" t="inlineStr">
        <is>
          <t>TRANSFERENCIAS PARA CUADRAR</t>
        </is>
      </c>
    </row>
    <row r="6" ht="36" customHeight="1">
      <c r="B6" s="5">
        <f>Gastos!C5</f>
        <v/>
      </c>
      <c r="C6" s="5">
        <f>IF(Participantes!D36=0,0,B6/Participantes!D36)</f>
        <v/>
      </c>
      <c r="E6" s="6">
        <f>Participantes!D36</f>
        <v/>
      </c>
      <c r="G6" s="5">
        <f>Participantes!E36-Gastos!E5</f>
        <v/>
      </c>
      <c r="I6" s="7">
        <f>MAX(Listas!$M$2:$M$61)</f>
        <v/>
      </c>
    </row>
    <row r="8" ht="32" customHeight="1">
      <c r="B8" s="4" t="inlineStr">
        <is>
          <t>DESTINO GANADOR</t>
        </is>
      </c>
      <c r="C8" s="4" t="inlineStr">
        <is>
          <t>PUNTOS DEL GANADOR</t>
        </is>
      </c>
      <c r="E8" s="4" t="inlineStr">
        <is>
          <t>PERSONAS SIN HABITACIÓN</t>
        </is>
      </c>
      <c r="G8" s="4" t="inlineStr">
        <is>
          <t>COSTE ESTIMADO ALOJAMIENTO</t>
        </is>
      </c>
      <c r="I8" s="4" t="inlineStr">
        <is>
          <t>GASTOS SIN PAGADOR VÁLIDO</t>
        </is>
      </c>
    </row>
    <row r="9" ht="36" customHeight="1">
      <c r="B9" s="8">
        <f>Viaje!C26</f>
        <v/>
      </c>
      <c r="C9" s="7">
        <f>MAX(Viaje!E16:E25)</f>
        <v/>
      </c>
      <c r="E9" s="6">
        <f>SUMPRODUCT((Participantes!C6:C35&lt;&gt;"")*(Participantes!H6:H35="")*Participantes!D6:D35)</f>
        <v/>
      </c>
      <c r="G9" s="5">
        <f>Viaje!I41</f>
        <v/>
      </c>
      <c r="I9" s="7">
        <f>SUMPRODUCT((Gastos!C8:C47&lt;&gt;"")*ISNA(MATCH(Gastos!F8:F47,Listas!B2:B32,0)))</f>
        <v/>
      </c>
    </row>
    <row r="11">
      <c r="B11" s="9">
        <f>IF(ROUND(SUM(Participantes!L6:L35),2)=0,"Cuentas cuadradas: la suma de saldos es 0 €. Viaje: "&amp;Viaje!C6&amp;" ("&amp;Viaje!C10&amp;" noches).","Revisa los datos: los saldos no suman 0 €. ¿Has elegido tesorero/a en la hoja Viaje?")</f>
        <v/>
      </c>
    </row>
    <row r="13">
      <c r="B13" s="10" t="inlineStr">
        <is>
          <t>QUIÉN PAGA A QUIÉN</t>
        </is>
      </c>
      <c r="F13" s="10" t="inlineStr">
        <is>
          <t>SALDO POR PERSONA</t>
        </is>
      </c>
    </row>
    <row r="14" ht="30" customHeight="1">
      <c r="B14" s="11" t="inlineStr">
        <is>
          <t>Quién paga</t>
        </is>
      </c>
      <c r="C14" s="11" t="inlineStr">
        <is>
          <t>A quién</t>
        </is>
      </c>
      <c r="D14" s="11" t="inlineStr">
        <is>
          <t>Importe</t>
        </is>
      </c>
      <c r="F14" s="11" t="inlineStr">
        <is>
          <t>Persona</t>
        </is>
      </c>
      <c r="G14" s="11" t="inlineStr">
        <is>
          <t>Ha puesto (€)</t>
        </is>
      </c>
      <c r="H14" s="11" t="inlineStr">
        <is>
          <t>Su parte (€)</t>
        </is>
      </c>
      <c r="I14" s="11" t="inlineStr">
        <is>
          <t>Saldo (€)</t>
        </is>
      </c>
    </row>
    <row r="15">
      <c r="B15" s="12">
        <f>IF($J15="","",INDEX(Participantes!$C$6:$C$35,SUMPRODUCT(--(Listas!$H$2:$H$31&lt;INDEX(Listas!$K$2:$K$61,$J15)))+1))</f>
        <v/>
      </c>
      <c r="C15" s="12">
        <f>IF($J15="","",INDEX(Participantes!$C$6:$C$35,SUMPRODUCT(--(Listas!$H$32:$H$61&lt;INDEX(Listas!$K$2:$K$61,$J15)))+1))</f>
        <v/>
      </c>
      <c r="D15" s="13">
        <f>IF($J15="","",INDEX(Listas!$J$2:$J$61,$J15))</f>
        <v/>
      </c>
      <c r="F15" s="12">
        <f>IF(Participantes!C6="","",Participantes!C6)</f>
        <v/>
      </c>
      <c r="G15" s="14">
        <f>IF(Participantes!C6="","",N(Participantes!E6)+Participantes!I6)</f>
        <v/>
      </c>
      <c r="H15" s="14">
        <f>IF(Participantes!C6="","",Participantes!J6)</f>
        <v/>
      </c>
      <c r="I15" s="13">
        <f>IF(Participantes!C6="","",Participantes!L6)</f>
        <v/>
      </c>
      <c r="J15" s="15">
        <f>IFERROR(MATCH(1,Listas!$M$2:$M$61,0),"")</f>
        <v/>
      </c>
    </row>
    <row r="16">
      <c r="B16" s="12">
        <f>IF($J16="","",INDEX(Participantes!$C$6:$C$35,SUMPRODUCT(--(Listas!$H$2:$H$31&lt;INDEX(Listas!$K$2:$K$61,$J16)))+1))</f>
        <v/>
      </c>
      <c r="C16" s="12">
        <f>IF($J16="","",INDEX(Participantes!$C$6:$C$35,SUMPRODUCT(--(Listas!$H$32:$H$61&lt;INDEX(Listas!$K$2:$K$61,$J16)))+1))</f>
        <v/>
      </c>
      <c r="D16" s="13">
        <f>IF($J16="","",INDEX(Listas!$J$2:$J$61,$J16))</f>
        <v/>
      </c>
      <c r="F16" s="12">
        <f>IF(Participantes!C7="","",Participantes!C7)</f>
        <v/>
      </c>
      <c r="G16" s="14">
        <f>IF(Participantes!C7="","",N(Participantes!E7)+Participantes!I7)</f>
        <v/>
      </c>
      <c r="H16" s="14">
        <f>IF(Participantes!C7="","",Participantes!J7)</f>
        <v/>
      </c>
      <c r="I16" s="13">
        <f>IF(Participantes!C7="","",Participantes!L7)</f>
        <v/>
      </c>
      <c r="J16" s="15">
        <f>IFERROR(MATCH(2,Listas!$M$2:$M$61,0),"")</f>
        <v/>
      </c>
    </row>
    <row r="17">
      <c r="B17" s="12">
        <f>IF($J17="","",INDEX(Participantes!$C$6:$C$35,SUMPRODUCT(--(Listas!$H$2:$H$31&lt;INDEX(Listas!$K$2:$K$61,$J17)))+1))</f>
        <v/>
      </c>
      <c r="C17" s="12">
        <f>IF($J17="","",INDEX(Participantes!$C$6:$C$35,SUMPRODUCT(--(Listas!$H$32:$H$61&lt;INDEX(Listas!$K$2:$K$61,$J17)))+1))</f>
        <v/>
      </c>
      <c r="D17" s="13">
        <f>IF($J17="","",INDEX(Listas!$J$2:$J$61,$J17))</f>
        <v/>
      </c>
      <c r="F17" s="12">
        <f>IF(Participantes!C8="","",Participantes!C8)</f>
        <v/>
      </c>
      <c r="G17" s="14">
        <f>IF(Participantes!C8="","",N(Participantes!E8)+Participantes!I8)</f>
        <v/>
      </c>
      <c r="H17" s="14">
        <f>IF(Participantes!C8="","",Participantes!J8)</f>
        <v/>
      </c>
      <c r="I17" s="13">
        <f>IF(Participantes!C8="","",Participantes!L8)</f>
        <v/>
      </c>
      <c r="J17" s="15">
        <f>IFERROR(MATCH(3,Listas!$M$2:$M$61,0),"")</f>
        <v/>
      </c>
    </row>
    <row r="18">
      <c r="B18" s="12">
        <f>IF($J18="","",INDEX(Participantes!$C$6:$C$35,SUMPRODUCT(--(Listas!$H$2:$H$31&lt;INDEX(Listas!$K$2:$K$61,$J18)))+1))</f>
        <v/>
      </c>
      <c r="C18" s="12">
        <f>IF($J18="","",INDEX(Participantes!$C$6:$C$35,SUMPRODUCT(--(Listas!$H$32:$H$61&lt;INDEX(Listas!$K$2:$K$61,$J18)))+1))</f>
        <v/>
      </c>
      <c r="D18" s="13">
        <f>IF($J18="","",INDEX(Listas!$J$2:$J$61,$J18))</f>
        <v/>
      </c>
      <c r="F18" s="12">
        <f>IF(Participantes!C9="","",Participantes!C9)</f>
        <v/>
      </c>
      <c r="G18" s="14">
        <f>IF(Participantes!C9="","",N(Participantes!E9)+Participantes!I9)</f>
        <v/>
      </c>
      <c r="H18" s="14">
        <f>IF(Participantes!C9="","",Participantes!J9)</f>
        <v/>
      </c>
      <c r="I18" s="13">
        <f>IF(Participantes!C9="","",Participantes!L9)</f>
        <v/>
      </c>
      <c r="J18" s="15">
        <f>IFERROR(MATCH(4,Listas!$M$2:$M$61,0),"")</f>
        <v/>
      </c>
    </row>
    <row r="19">
      <c r="B19" s="12">
        <f>IF($J19="","",INDEX(Participantes!$C$6:$C$35,SUMPRODUCT(--(Listas!$H$2:$H$31&lt;INDEX(Listas!$K$2:$K$61,$J19)))+1))</f>
        <v/>
      </c>
      <c r="C19" s="12">
        <f>IF($J19="","",INDEX(Participantes!$C$6:$C$35,SUMPRODUCT(--(Listas!$H$32:$H$61&lt;INDEX(Listas!$K$2:$K$61,$J19)))+1))</f>
        <v/>
      </c>
      <c r="D19" s="13">
        <f>IF($J19="","",INDEX(Listas!$J$2:$J$61,$J19))</f>
        <v/>
      </c>
      <c r="F19" s="12">
        <f>IF(Participantes!C10="","",Participantes!C10)</f>
        <v/>
      </c>
      <c r="G19" s="14">
        <f>IF(Participantes!C10="","",N(Participantes!E10)+Participantes!I10)</f>
        <v/>
      </c>
      <c r="H19" s="14">
        <f>IF(Participantes!C10="","",Participantes!J10)</f>
        <v/>
      </c>
      <c r="I19" s="13">
        <f>IF(Participantes!C10="","",Participantes!L10)</f>
        <v/>
      </c>
      <c r="J19" s="15">
        <f>IFERROR(MATCH(5,Listas!$M$2:$M$61,0),"")</f>
        <v/>
      </c>
    </row>
    <row r="20">
      <c r="B20" s="12">
        <f>IF($J20="","",INDEX(Participantes!$C$6:$C$35,SUMPRODUCT(--(Listas!$H$2:$H$31&lt;INDEX(Listas!$K$2:$K$61,$J20)))+1))</f>
        <v/>
      </c>
      <c r="C20" s="12">
        <f>IF($J20="","",INDEX(Participantes!$C$6:$C$35,SUMPRODUCT(--(Listas!$H$32:$H$61&lt;INDEX(Listas!$K$2:$K$61,$J20)))+1))</f>
        <v/>
      </c>
      <c r="D20" s="13">
        <f>IF($J20="","",INDEX(Listas!$J$2:$J$61,$J20))</f>
        <v/>
      </c>
      <c r="F20" s="12">
        <f>IF(Participantes!C11="","",Participantes!C11)</f>
        <v/>
      </c>
      <c r="G20" s="14">
        <f>IF(Participantes!C11="","",N(Participantes!E11)+Participantes!I11)</f>
        <v/>
      </c>
      <c r="H20" s="14">
        <f>IF(Participantes!C11="","",Participantes!J11)</f>
        <v/>
      </c>
      <c r="I20" s="13">
        <f>IF(Participantes!C11="","",Participantes!L11)</f>
        <v/>
      </c>
      <c r="J20" s="15">
        <f>IFERROR(MATCH(6,Listas!$M$2:$M$61,0),"")</f>
        <v/>
      </c>
    </row>
    <row r="21">
      <c r="B21" s="12">
        <f>IF($J21="","",INDEX(Participantes!$C$6:$C$35,SUMPRODUCT(--(Listas!$H$2:$H$31&lt;INDEX(Listas!$K$2:$K$61,$J21)))+1))</f>
        <v/>
      </c>
      <c r="C21" s="12">
        <f>IF($J21="","",INDEX(Participantes!$C$6:$C$35,SUMPRODUCT(--(Listas!$H$32:$H$61&lt;INDEX(Listas!$K$2:$K$61,$J21)))+1))</f>
        <v/>
      </c>
      <c r="D21" s="13">
        <f>IF($J21="","",INDEX(Listas!$J$2:$J$61,$J21))</f>
        <v/>
      </c>
      <c r="F21" s="12">
        <f>IF(Participantes!C12="","",Participantes!C12)</f>
        <v/>
      </c>
      <c r="G21" s="14">
        <f>IF(Participantes!C12="","",N(Participantes!E12)+Participantes!I12)</f>
        <v/>
      </c>
      <c r="H21" s="14">
        <f>IF(Participantes!C12="","",Participantes!J12)</f>
        <v/>
      </c>
      <c r="I21" s="13">
        <f>IF(Participantes!C12="","",Participantes!L12)</f>
        <v/>
      </c>
      <c r="J21" s="15">
        <f>IFERROR(MATCH(7,Listas!$M$2:$M$61,0),"")</f>
        <v/>
      </c>
    </row>
    <row r="22">
      <c r="B22" s="12">
        <f>IF($J22="","",INDEX(Participantes!$C$6:$C$35,SUMPRODUCT(--(Listas!$H$2:$H$31&lt;INDEX(Listas!$K$2:$K$61,$J22)))+1))</f>
        <v/>
      </c>
      <c r="C22" s="12">
        <f>IF($J22="","",INDEX(Participantes!$C$6:$C$35,SUMPRODUCT(--(Listas!$H$32:$H$61&lt;INDEX(Listas!$K$2:$K$61,$J22)))+1))</f>
        <v/>
      </c>
      <c r="D22" s="13">
        <f>IF($J22="","",INDEX(Listas!$J$2:$J$61,$J22))</f>
        <v/>
      </c>
      <c r="F22" s="12">
        <f>IF(Participantes!C13="","",Participantes!C13)</f>
        <v/>
      </c>
      <c r="G22" s="14">
        <f>IF(Participantes!C13="","",N(Participantes!E13)+Participantes!I13)</f>
        <v/>
      </c>
      <c r="H22" s="14">
        <f>IF(Participantes!C13="","",Participantes!J13)</f>
        <v/>
      </c>
      <c r="I22" s="13">
        <f>IF(Participantes!C13="","",Participantes!L13)</f>
        <v/>
      </c>
      <c r="J22" s="15">
        <f>IFERROR(MATCH(8,Listas!$M$2:$M$61,0),"")</f>
        <v/>
      </c>
    </row>
    <row r="23">
      <c r="B23" s="12">
        <f>IF($J23="","",INDEX(Participantes!$C$6:$C$35,SUMPRODUCT(--(Listas!$H$2:$H$31&lt;INDEX(Listas!$K$2:$K$61,$J23)))+1))</f>
        <v/>
      </c>
      <c r="C23" s="12">
        <f>IF($J23="","",INDEX(Participantes!$C$6:$C$35,SUMPRODUCT(--(Listas!$H$32:$H$61&lt;INDEX(Listas!$K$2:$K$61,$J23)))+1))</f>
        <v/>
      </c>
      <c r="D23" s="13">
        <f>IF($J23="","",INDEX(Listas!$J$2:$J$61,$J23))</f>
        <v/>
      </c>
      <c r="F23" s="12">
        <f>IF(Participantes!C14="","",Participantes!C14)</f>
        <v/>
      </c>
      <c r="G23" s="14">
        <f>IF(Participantes!C14="","",N(Participantes!E14)+Participantes!I14)</f>
        <v/>
      </c>
      <c r="H23" s="14">
        <f>IF(Participantes!C14="","",Participantes!J14)</f>
        <v/>
      </c>
      <c r="I23" s="13">
        <f>IF(Participantes!C14="","",Participantes!L14)</f>
        <v/>
      </c>
      <c r="J23" s="15">
        <f>IFERROR(MATCH(9,Listas!$M$2:$M$61,0),"")</f>
        <v/>
      </c>
    </row>
    <row r="24">
      <c r="B24" s="12">
        <f>IF($J24="","",INDEX(Participantes!$C$6:$C$35,SUMPRODUCT(--(Listas!$H$2:$H$31&lt;INDEX(Listas!$K$2:$K$61,$J24)))+1))</f>
        <v/>
      </c>
      <c r="C24" s="12">
        <f>IF($J24="","",INDEX(Participantes!$C$6:$C$35,SUMPRODUCT(--(Listas!$H$32:$H$61&lt;INDEX(Listas!$K$2:$K$61,$J24)))+1))</f>
        <v/>
      </c>
      <c r="D24" s="13">
        <f>IF($J24="","",INDEX(Listas!$J$2:$J$61,$J24))</f>
        <v/>
      </c>
      <c r="F24" s="12">
        <f>IF(Participantes!C15="","",Participantes!C15)</f>
        <v/>
      </c>
      <c r="G24" s="14">
        <f>IF(Participantes!C15="","",N(Participantes!E15)+Participantes!I15)</f>
        <v/>
      </c>
      <c r="H24" s="14">
        <f>IF(Participantes!C15="","",Participantes!J15)</f>
        <v/>
      </c>
      <c r="I24" s="13">
        <f>IF(Participantes!C15="","",Participantes!L15)</f>
        <v/>
      </c>
      <c r="J24" s="15">
        <f>IFERROR(MATCH(10,Listas!$M$2:$M$61,0),"")</f>
        <v/>
      </c>
    </row>
    <row r="25">
      <c r="B25" s="12">
        <f>IF($J25="","",INDEX(Participantes!$C$6:$C$35,SUMPRODUCT(--(Listas!$H$2:$H$31&lt;INDEX(Listas!$K$2:$K$61,$J25)))+1))</f>
        <v/>
      </c>
      <c r="C25" s="12">
        <f>IF($J25="","",INDEX(Participantes!$C$6:$C$35,SUMPRODUCT(--(Listas!$H$32:$H$61&lt;INDEX(Listas!$K$2:$K$61,$J25)))+1))</f>
        <v/>
      </c>
      <c r="D25" s="13">
        <f>IF($J25="","",INDEX(Listas!$J$2:$J$61,$J25))</f>
        <v/>
      </c>
      <c r="F25" s="12">
        <f>IF(Participantes!C16="","",Participantes!C16)</f>
        <v/>
      </c>
      <c r="G25" s="14">
        <f>IF(Participantes!C16="","",N(Participantes!E16)+Participantes!I16)</f>
        <v/>
      </c>
      <c r="H25" s="14">
        <f>IF(Participantes!C16="","",Participantes!J16)</f>
        <v/>
      </c>
      <c r="I25" s="13">
        <f>IF(Participantes!C16="","",Participantes!L16)</f>
        <v/>
      </c>
      <c r="J25" s="15">
        <f>IFERROR(MATCH(11,Listas!$M$2:$M$61,0),"")</f>
        <v/>
      </c>
    </row>
    <row r="26">
      <c r="B26" s="12">
        <f>IF($J26="","",INDEX(Participantes!$C$6:$C$35,SUMPRODUCT(--(Listas!$H$2:$H$31&lt;INDEX(Listas!$K$2:$K$61,$J26)))+1))</f>
        <v/>
      </c>
      <c r="C26" s="12">
        <f>IF($J26="","",INDEX(Participantes!$C$6:$C$35,SUMPRODUCT(--(Listas!$H$32:$H$61&lt;INDEX(Listas!$K$2:$K$61,$J26)))+1))</f>
        <v/>
      </c>
      <c r="D26" s="13">
        <f>IF($J26="","",INDEX(Listas!$J$2:$J$61,$J26))</f>
        <v/>
      </c>
      <c r="F26" s="12">
        <f>IF(Participantes!C17="","",Participantes!C17)</f>
        <v/>
      </c>
      <c r="G26" s="14">
        <f>IF(Participantes!C17="","",N(Participantes!E17)+Participantes!I17)</f>
        <v/>
      </c>
      <c r="H26" s="14">
        <f>IF(Participantes!C17="","",Participantes!J17)</f>
        <v/>
      </c>
      <c r="I26" s="13">
        <f>IF(Participantes!C17="","",Participantes!L17)</f>
        <v/>
      </c>
      <c r="J26" s="15">
        <f>IFERROR(MATCH(12,Listas!$M$2:$M$61,0),"")</f>
        <v/>
      </c>
    </row>
    <row r="27">
      <c r="B27" s="12">
        <f>IF($J27="","",INDEX(Participantes!$C$6:$C$35,SUMPRODUCT(--(Listas!$H$2:$H$31&lt;INDEX(Listas!$K$2:$K$61,$J27)))+1))</f>
        <v/>
      </c>
      <c r="C27" s="12">
        <f>IF($J27="","",INDEX(Participantes!$C$6:$C$35,SUMPRODUCT(--(Listas!$H$32:$H$61&lt;INDEX(Listas!$K$2:$K$61,$J27)))+1))</f>
        <v/>
      </c>
      <c r="D27" s="13">
        <f>IF($J27="","",INDEX(Listas!$J$2:$J$61,$J27))</f>
        <v/>
      </c>
      <c r="F27" s="12">
        <f>IF(Participantes!C18="","",Participantes!C18)</f>
        <v/>
      </c>
      <c r="G27" s="14">
        <f>IF(Participantes!C18="","",N(Participantes!E18)+Participantes!I18)</f>
        <v/>
      </c>
      <c r="H27" s="14">
        <f>IF(Participantes!C18="","",Participantes!J18)</f>
        <v/>
      </c>
      <c r="I27" s="13">
        <f>IF(Participantes!C18="","",Participantes!L18)</f>
        <v/>
      </c>
      <c r="J27" s="15">
        <f>IFERROR(MATCH(13,Listas!$M$2:$M$61,0),"")</f>
        <v/>
      </c>
    </row>
    <row r="28">
      <c r="B28" s="12">
        <f>IF($J28="","",INDEX(Participantes!$C$6:$C$35,SUMPRODUCT(--(Listas!$H$2:$H$31&lt;INDEX(Listas!$K$2:$K$61,$J28)))+1))</f>
        <v/>
      </c>
      <c r="C28" s="12">
        <f>IF($J28="","",INDEX(Participantes!$C$6:$C$35,SUMPRODUCT(--(Listas!$H$32:$H$61&lt;INDEX(Listas!$K$2:$K$61,$J28)))+1))</f>
        <v/>
      </c>
      <c r="D28" s="13">
        <f>IF($J28="","",INDEX(Listas!$J$2:$J$61,$J28))</f>
        <v/>
      </c>
      <c r="F28" s="12">
        <f>IF(Participantes!C19="","",Participantes!C19)</f>
        <v/>
      </c>
      <c r="G28" s="14">
        <f>IF(Participantes!C19="","",N(Participantes!E19)+Participantes!I19)</f>
        <v/>
      </c>
      <c r="H28" s="14">
        <f>IF(Participantes!C19="","",Participantes!J19)</f>
        <v/>
      </c>
      <c r="I28" s="13">
        <f>IF(Participantes!C19="","",Participantes!L19)</f>
        <v/>
      </c>
      <c r="J28" s="15">
        <f>IFERROR(MATCH(14,Listas!$M$2:$M$61,0),"")</f>
        <v/>
      </c>
    </row>
    <row r="29">
      <c r="B29" s="12">
        <f>IF($J29="","",INDEX(Participantes!$C$6:$C$35,SUMPRODUCT(--(Listas!$H$2:$H$31&lt;INDEX(Listas!$K$2:$K$61,$J29)))+1))</f>
        <v/>
      </c>
      <c r="C29" s="12">
        <f>IF($J29="","",INDEX(Participantes!$C$6:$C$35,SUMPRODUCT(--(Listas!$H$32:$H$61&lt;INDEX(Listas!$K$2:$K$61,$J29)))+1))</f>
        <v/>
      </c>
      <c r="D29" s="13">
        <f>IF($J29="","",INDEX(Listas!$J$2:$J$61,$J29))</f>
        <v/>
      </c>
      <c r="F29" s="12">
        <f>IF(Participantes!C20="","",Participantes!C20)</f>
        <v/>
      </c>
      <c r="G29" s="14">
        <f>IF(Participantes!C20="","",N(Participantes!E20)+Participantes!I20)</f>
        <v/>
      </c>
      <c r="H29" s="14">
        <f>IF(Participantes!C20="","",Participantes!J20)</f>
        <v/>
      </c>
      <c r="I29" s="13">
        <f>IF(Participantes!C20="","",Participantes!L20)</f>
        <v/>
      </c>
      <c r="J29" s="15">
        <f>IFERROR(MATCH(15,Listas!$M$2:$M$61,0),"")</f>
        <v/>
      </c>
    </row>
    <row r="30">
      <c r="B30" s="16" t="inlineStr">
        <is>
          <t>Total a transferir</t>
        </is>
      </c>
      <c r="C30" s="16" t="inlineStr"/>
      <c r="D30" s="17">
        <f>SUM(D15:D29)</f>
        <v/>
      </c>
      <c r="F30" s="18">
        <f>IF(I6=0,"Nadie debe nada: ¡cuentas saldadas!",IF(I6&gt;15,"Se muestran 15 de "&amp;I6&amp;" transferencias; el resto, en Participantes.","Se muestran las "&amp;I6&amp;" transferencias necesarias para saldar."))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6">
    <mergeCell ref="E6:F6"/>
    <mergeCell ref="C6:D6"/>
    <mergeCell ref="B11:I11"/>
    <mergeCell ref="B2:I2"/>
    <mergeCell ref="C5:D5"/>
    <mergeCell ref="G5:H5"/>
    <mergeCell ref="E5:F5"/>
    <mergeCell ref="B3:I3"/>
    <mergeCell ref="F30:I30"/>
    <mergeCell ref="G6:H6"/>
    <mergeCell ref="C9:D9"/>
    <mergeCell ref="G8:H8"/>
    <mergeCell ref="G9:H9"/>
    <mergeCell ref="E9:F9"/>
    <mergeCell ref="E8:F8"/>
    <mergeCell ref="C8:D8"/>
  </mergeCells>
  <conditionalFormatting sqref="I9">
    <cfRule type="expression" priority="1" dxfId="0">
      <formula>$I$9&gt;0</formula>
    </cfRule>
  </conditionalFormatting>
  <conditionalFormatting sqref="E9">
    <cfRule type="expression" priority="2" dxfId="1">
      <formula>$E$9&gt;0</formula>
    </cfRule>
  </conditionalFormatting>
  <conditionalFormatting sqref="I15:I29">
    <cfRule type="expression" priority="3" dxfId="0">
      <formula>AND(ISNUMBER($I15),$I15&lt;-0.004)</formula>
    </cfRule>
    <cfRule type="expression" priority="4" dxfId="2">
      <formula>AND(ISNUMBER($I15),$I15&gt;0.004)</formula>
    </cfRule>
  </conditionalFormatting>
  <conditionalFormatting sqref="D15:D29">
    <cfRule type="dataBar" priority="5">
      <dataBar>
        <cfvo type="num" val="0"/>
        <cfvo type="max"/>
        <color rgb="0034D399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Q36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5" customWidth="1" min="2" max="2"/>
    <col width="20" customWidth="1" min="3" max="3"/>
    <col width="11" customWidth="1" min="4" max="4"/>
    <col width="13" customWidth="1" min="5" max="5"/>
    <col width="17" customWidth="1" min="6" max="6"/>
    <col width="17" customWidth="1" min="7" max="7"/>
    <col width="16" customWidth="1" min="8" max="8"/>
    <col width="13" customWidth="1" min="9" max="9"/>
    <col width="13" customWidth="1" min="10" max="10"/>
    <col width="12" customWidth="1" min="11" max="11"/>
    <col width="13" customWidth="1" min="12" max="12"/>
    <col width="14" customWidth="1" min="13" max="13"/>
    <col width="13" customWidth="1" min="14" max="14"/>
    <col width="13" customWidth="1" min="15" max="15"/>
    <col width="26" customWidth="1" min="16" max="16"/>
    <col hidden="1" width="10" customWidth="1" min="17" max="17"/>
  </cols>
  <sheetData>
    <row r="2" ht="34" customHeight="1">
      <c r="B2" s="1" t="inlineStr">
        <is>
          <t>Participantes, aportaciones y saldos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B3" s="3" t="inlineStr">
        <is>
          <t>Una fila por persona (o pareja/familia con «Personas» &gt; 1). El saldo neto dice quién debe pagar y quién debe cobrar.</t>
        </is>
      </c>
    </row>
    <row r="5" ht="48" customHeight="1">
      <c r="B5" s="11" t="inlineStr">
        <is>
          <t>Nº</t>
        </is>
      </c>
      <c r="C5" s="11" t="inlineStr">
        <is>
          <t>Nombre</t>
        </is>
      </c>
      <c r="D5" s="11" t="inlineStr">
        <is>
          <t>Personas que representa</t>
        </is>
      </c>
      <c r="E5" s="11" t="inlineStr">
        <is>
          <t>Aportación al bote (€)</t>
        </is>
      </c>
      <c r="F5" s="11" t="inlineStr">
        <is>
          <t>Voto destino (1ª opción)</t>
        </is>
      </c>
      <c r="G5" s="11" t="inlineStr">
        <is>
          <t>Voto destino (2ª opción)</t>
        </is>
      </c>
      <c r="H5" s="11" t="inlineStr">
        <is>
          <t>Habitación</t>
        </is>
      </c>
      <c r="I5" s="11" t="inlineStr">
        <is>
          <t>Adelantado en gastos (€)</t>
        </is>
      </c>
      <c r="J5" s="11" t="inlineStr">
        <is>
          <t>Parte de los gastos (€)</t>
        </is>
      </c>
      <c r="K5" s="11" t="inlineStr">
        <is>
          <t>Balance (€)</t>
        </is>
      </c>
      <c r="L5" s="11" t="inlineStr">
        <is>
          <t>Saldo neto (€)</t>
        </is>
      </c>
      <c r="M5" s="11" t="inlineStr">
        <is>
          <t>Situación</t>
        </is>
      </c>
      <c r="N5" s="11" t="inlineStr">
        <is>
          <t>Debe pagar (€)</t>
        </is>
      </c>
      <c r="O5" s="11" t="inlineStr">
        <is>
          <t>Debe cobrar (€)</t>
        </is>
      </c>
      <c r="P5" s="11" t="inlineStr">
        <is>
          <t>Nota</t>
        </is>
      </c>
      <c r="Q5" s="19" t="inlineStr">
        <is>
          <t>Clave hab. (aux.)</t>
        </is>
      </c>
    </row>
    <row r="6">
      <c r="B6" s="20">
        <f>IF(C6="","",ROW()-5)</f>
        <v/>
      </c>
      <c r="C6" s="21" t="inlineStr">
        <is>
          <t>Marta</t>
        </is>
      </c>
      <c r="D6" s="22" t="n">
        <v>1</v>
      </c>
      <c r="E6" s="23" t="n">
        <v>60</v>
      </c>
      <c r="F6" s="24" t="inlineStr">
        <is>
          <t>Lisboa</t>
        </is>
      </c>
      <c r="G6" s="24" t="inlineStr">
        <is>
          <t>Oporto</t>
        </is>
      </c>
      <c r="H6" s="24" t="inlineStr">
        <is>
          <t>Hab. 1</t>
        </is>
      </c>
      <c r="I6" s="14">
        <f>IF(C6="","",SUMIF(Gastos!$F$8:$F$47,C6,Gastos!$C$8:$C$47))</f>
        <v/>
      </c>
      <c r="J6" s="14">
        <f>IF(C6="","",D6*(SUM(Gastos!$I$8:$I$47)-SUMIF(Gastos!$G$8:$G$47,C6,Gastos!$I$8:$I$47)))</f>
        <v/>
      </c>
      <c r="K6" s="14">
        <f>IF(C6="","",ROUND(N(E6)+I6-J6,2))</f>
        <v/>
      </c>
      <c r="L6" s="13">
        <f>IF(C6="","",IF(AND(Viaje!$C$7&lt;&gt;"",C6=Viaje!$C$7),-(SUM(K$6:K$35)-K6),K6))</f>
        <v/>
      </c>
      <c r="M6" s="25">
        <f>IF(C6="","",IF(L6&gt;0.004,"Le deben",IF(L6&lt;-0.004,"Debe pagar","En paz")))</f>
        <v/>
      </c>
      <c r="N6" s="26">
        <f>IF(C6="",0,MAX(0,-L6))</f>
        <v/>
      </c>
      <c r="O6" s="26">
        <f>IF(C6="",0,MAX(0,L6))</f>
        <v/>
      </c>
      <c r="P6" s="21" t="inlineStr">
        <is>
          <t>Tesorera</t>
        </is>
      </c>
      <c r="Q6" s="27">
        <f>IF(OR(C6="",H6=""),"",H6&amp;"|"&amp;COUNTIF($H$6:H6,H6))</f>
        <v/>
      </c>
    </row>
    <row r="7">
      <c r="B7" s="20">
        <f>IF(C7="","",ROW()-5)</f>
        <v/>
      </c>
      <c r="C7" s="21" t="inlineStr">
        <is>
          <t>Pablo</t>
        </is>
      </c>
      <c r="D7" s="22" t="n">
        <v>1</v>
      </c>
      <c r="E7" s="23" t="n">
        <v>60</v>
      </c>
      <c r="F7" s="24" t="inlineStr">
        <is>
          <t>Granada</t>
        </is>
      </c>
      <c r="G7" s="24" t="inlineStr">
        <is>
          <t>Valencia</t>
        </is>
      </c>
      <c r="H7" s="24" t="inlineStr">
        <is>
          <t>Hab. 2</t>
        </is>
      </c>
      <c r="I7" s="14">
        <f>IF(C7="","",SUMIF(Gastos!$F$8:$F$47,C7,Gastos!$C$8:$C$47))</f>
        <v/>
      </c>
      <c r="J7" s="14">
        <f>IF(C7="","",D7*(SUM(Gastos!$I$8:$I$47)-SUMIF(Gastos!$G$8:$G$47,C7,Gastos!$I$8:$I$47)))</f>
        <v/>
      </c>
      <c r="K7" s="14">
        <f>IF(C7="","",ROUND(N(E7)+I7-J7,2))</f>
        <v/>
      </c>
      <c r="L7" s="13">
        <f>IF(C7="","",IF(AND(Viaje!$C$7&lt;&gt;"",C7=Viaje!$C$7),-(SUM(K$6:K$35)-K7),K7))</f>
        <v/>
      </c>
      <c r="M7" s="25">
        <f>IF(C7="","",IF(L7&gt;0.004,"Le deben",IF(L7&lt;-0.004,"Debe pagar","En paz")))</f>
        <v/>
      </c>
      <c r="N7" s="26">
        <f>IF(C7="",0,MAX(0,-L7))</f>
        <v/>
      </c>
      <c r="O7" s="26">
        <f>IF(C7="",0,MAX(0,L7))</f>
        <v/>
      </c>
      <c r="P7" s="21" t="inlineStr">
        <is>
          <t>Conduce el coche de alquiler</t>
        </is>
      </c>
      <c r="Q7" s="27">
        <f>IF(OR(C7="",H7=""),"",H7&amp;"|"&amp;COUNTIF($H$6:H7,H7))</f>
        <v/>
      </c>
    </row>
    <row r="8">
      <c r="B8" s="20">
        <f>IF(C8="","",ROW()-5)</f>
        <v/>
      </c>
      <c r="C8" s="21" t="inlineStr">
        <is>
          <t>Lucía</t>
        </is>
      </c>
      <c r="D8" s="22" t="n">
        <v>1</v>
      </c>
      <c r="E8" s="23" t="n">
        <v>60</v>
      </c>
      <c r="F8" s="24" t="inlineStr">
        <is>
          <t>Lisboa</t>
        </is>
      </c>
      <c r="G8" s="24" t="inlineStr">
        <is>
          <t>Granada</t>
        </is>
      </c>
      <c r="H8" s="24" t="inlineStr">
        <is>
          <t>Hab. 1</t>
        </is>
      </c>
      <c r="I8" s="14">
        <f>IF(C8="","",SUMIF(Gastos!$F$8:$F$47,C8,Gastos!$C$8:$C$47))</f>
        <v/>
      </c>
      <c r="J8" s="14">
        <f>IF(C8="","",D8*(SUM(Gastos!$I$8:$I$47)-SUMIF(Gastos!$G$8:$G$47,C8,Gastos!$I$8:$I$47)))</f>
        <v/>
      </c>
      <c r="K8" s="14">
        <f>IF(C8="","",ROUND(N(E8)+I8-J8,2))</f>
        <v/>
      </c>
      <c r="L8" s="13">
        <f>IF(C8="","",IF(AND(Viaje!$C$7&lt;&gt;"",C8=Viaje!$C$7),-(SUM(K$6:K$35)-K8),K8))</f>
        <v/>
      </c>
      <c r="M8" s="25">
        <f>IF(C8="","",IF(L8&gt;0.004,"Le deben",IF(L8&lt;-0.004,"Debe pagar","En paz")))</f>
        <v/>
      </c>
      <c r="N8" s="26">
        <f>IF(C8="",0,MAX(0,-L8))</f>
        <v/>
      </c>
      <c r="O8" s="26">
        <f>IF(C8="",0,MAX(0,L8))</f>
        <v/>
      </c>
      <c r="P8" s="21" t="inlineStr"/>
      <c r="Q8" s="27">
        <f>IF(OR(C8="",H8=""),"",H8&amp;"|"&amp;COUNTIF($H$6:H8,H8))</f>
        <v/>
      </c>
    </row>
    <row r="9">
      <c r="B9" s="20">
        <f>IF(C9="","",ROW()-5)</f>
        <v/>
      </c>
      <c r="C9" s="21" t="inlineStr">
        <is>
          <t>Hugo</t>
        </is>
      </c>
      <c r="D9" s="22" t="n">
        <v>1</v>
      </c>
      <c r="E9" s="23" t="n">
        <v>60</v>
      </c>
      <c r="F9" s="24" t="inlineStr">
        <is>
          <t>Lisboa</t>
        </is>
      </c>
      <c r="G9" s="24" t="inlineStr">
        <is>
          <t>San Sebastián</t>
        </is>
      </c>
      <c r="H9" s="24" t="inlineStr">
        <is>
          <t>Hab. 2</t>
        </is>
      </c>
      <c r="I9" s="14">
        <f>IF(C9="","",SUMIF(Gastos!$F$8:$F$47,C9,Gastos!$C$8:$C$47))</f>
        <v/>
      </c>
      <c r="J9" s="14">
        <f>IF(C9="","",D9*(SUM(Gastos!$I$8:$I$47)-SUMIF(Gastos!$G$8:$G$47,C9,Gastos!$I$8:$I$47)))</f>
        <v/>
      </c>
      <c r="K9" s="14">
        <f>IF(C9="","",ROUND(N(E9)+I9-J9,2))</f>
        <v/>
      </c>
      <c r="L9" s="13">
        <f>IF(C9="","",IF(AND(Viaje!$C$7&lt;&gt;"",C9=Viaje!$C$7),-(SUM(K$6:K$35)-K9),K9))</f>
        <v/>
      </c>
      <c r="M9" s="25">
        <f>IF(C9="","",IF(L9&gt;0.004,"Le deben",IF(L9&lt;-0.004,"Debe pagar","En paz")))</f>
        <v/>
      </c>
      <c r="N9" s="26">
        <f>IF(C9="",0,MAX(0,-L9))</f>
        <v/>
      </c>
      <c r="O9" s="26">
        <f>IF(C9="",0,MAX(0,L9))</f>
        <v/>
      </c>
      <c r="P9" s="21" t="inlineStr"/>
      <c r="Q9" s="27">
        <f>IF(OR(C9="",H9=""),"",H9&amp;"|"&amp;COUNTIF($H$6:H9,H9))</f>
        <v/>
      </c>
    </row>
    <row r="10">
      <c r="B10" s="20">
        <f>IF(C10="","",ROW()-5)</f>
        <v/>
      </c>
      <c r="C10" s="21" t="inlineStr">
        <is>
          <t>Irene</t>
        </is>
      </c>
      <c r="D10" s="22" t="n">
        <v>1</v>
      </c>
      <c r="E10" s="23" t="n">
        <v>60</v>
      </c>
      <c r="F10" s="24" t="inlineStr">
        <is>
          <t>San Sebastián</t>
        </is>
      </c>
      <c r="G10" s="24" t="inlineStr">
        <is>
          <t>Lisboa</t>
        </is>
      </c>
      <c r="H10" s="24" t="inlineStr">
        <is>
          <t>Hab. 4</t>
        </is>
      </c>
      <c r="I10" s="14">
        <f>IF(C10="","",SUMIF(Gastos!$F$8:$F$47,C10,Gastos!$C$8:$C$47))</f>
        <v/>
      </c>
      <c r="J10" s="14">
        <f>IF(C10="","",D10*(SUM(Gastos!$I$8:$I$47)-SUMIF(Gastos!$G$8:$G$47,C10,Gastos!$I$8:$I$47)))</f>
        <v/>
      </c>
      <c r="K10" s="14">
        <f>IF(C10="","",ROUND(N(E10)+I10-J10,2))</f>
        <v/>
      </c>
      <c r="L10" s="13">
        <f>IF(C10="","",IF(AND(Viaje!$C$7&lt;&gt;"",C10=Viaje!$C$7),-(SUM(K$6:K$35)-K10),K10))</f>
        <v/>
      </c>
      <c r="M10" s="25">
        <f>IF(C10="","",IF(L10&gt;0.004,"Le deben",IF(L10&lt;-0.004,"Debe pagar","En paz")))</f>
        <v/>
      </c>
      <c r="N10" s="26">
        <f>IF(C10="",0,MAX(0,-L10))</f>
        <v/>
      </c>
      <c r="O10" s="26">
        <f>IF(C10="",0,MAX(0,L10))</f>
        <v/>
      </c>
      <c r="P10" s="21" t="inlineStr"/>
      <c r="Q10" s="27">
        <f>IF(OR(C10="",H10=""),"",H10&amp;"|"&amp;COUNTIF($H$6:H10,H10))</f>
        <v/>
      </c>
    </row>
    <row r="11">
      <c r="B11" s="20">
        <f>IF(C11="","",ROW()-5)</f>
        <v/>
      </c>
      <c r="C11" s="21" t="inlineStr">
        <is>
          <t>Sergio</t>
        </is>
      </c>
      <c r="D11" s="22" t="n">
        <v>1</v>
      </c>
      <c r="E11" s="23" t="n">
        <v>60</v>
      </c>
      <c r="F11" s="24" t="inlineStr">
        <is>
          <t>Lisboa</t>
        </is>
      </c>
      <c r="G11" s="24" t="inlineStr">
        <is>
          <t>Valencia</t>
        </is>
      </c>
      <c r="H11" s="24" t="inlineStr">
        <is>
          <t>Hab. 6</t>
        </is>
      </c>
      <c r="I11" s="14">
        <f>IF(C11="","",SUMIF(Gastos!$F$8:$F$47,C11,Gastos!$C$8:$C$47))</f>
        <v/>
      </c>
      <c r="J11" s="14">
        <f>IF(C11="","",D11*(SUM(Gastos!$I$8:$I$47)-SUMIF(Gastos!$G$8:$G$47,C11,Gastos!$I$8:$I$47)))</f>
        <v/>
      </c>
      <c r="K11" s="14">
        <f>IF(C11="","",ROUND(N(E11)+I11-J11,2))</f>
        <v/>
      </c>
      <c r="L11" s="13">
        <f>IF(C11="","",IF(AND(Viaje!$C$7&lt;&gt;"",C11=Viaje!$C$7),-(SUM(K$6:K$35)-K11),K11))</f>
        <v/>
      </c>
      <c r="M11" s="25">
        <f>IF(C11="","",IF(L11&gt;0.004,"Le deben",IF(L11&lt;-0.004,"Debe pagar","En paz")))</f>
        <v/>
      </c>
      <c r="N11" s="26">
        <f>IF(C11="",0,MAX(0,-L11))</f>
        <v/>
      </c>
      <c r="O11" s="26">
        <f>IF(C11="",0,MAX(0,L11))</f>
        <v/>
      </c>
      <c r="P11" s="21" t="inlineStr"/>
      <c r="Q11" s="27">
        <f>IF(OR(C11="",H11=""),"",H11&amp;"|"&amp;COUNTIF($H$6:H11,H11))</f>
        <v/>
      </c>
    </row>
    <row r="12">
      <c r="B12" s="20">
        <f>IF(C12="","",ROW()-5)</f>
        <v/>
      </c>
      <c r="C12" s="21" t="inlineStr">
        <is>
          <t>Nuria</t>
        </is>
      </c>
      <c r="D12" s="22" t="n">
        <v>1</v>
      </c>
      <c r="E12" s="23" t="n">
        <v>60</v>
      </c>
      <c r="F12" s="24" t="inlineStr">
        <is>
          <t>Granada</t>
        </is>
      </c>
      <c r="G12" s="24" t="inlineStr">
        <is>
          <t>Lisboa</t>
        </is>
      </c>
      <c r="H12" s="24" t="inlineStr">
        <is>
          <t>Hab. 4</t>
        </is>
      </c>
      <c r="I12" s="14">
        <f>IF(C12="","",SUMIF(Gastos!$F$8:$F$47,C12,Gastos!$C$8:$C$47))</f>
        <v/>
      </c>
      <c r="J12" s="14">
        <f>IF(C12="","",D12*(SUM(Gastos!$I$8:$I$47)-SUMIF(Gastos!$G$8:$G$47,C12,Gastos!$I$8:$I$47)))</f>
        <v/>
      </c>
      <c r="K12" s="14">
        <f>IF(C12="","",ROUND(N(E12)+I12-J12,2))</f>
        <v/>
      </c>
      <c r="L12" s="13">
        <f>IF(C12="","",IF(AND(Viaje!$C$7&lt;&gt;"",C12=Viaje!$C$7),-(SUM(K$6:K$35)-K12),K12))</f>
        <v/>
      </c>
      <c r="M12" s="25">
        <f>IF(C12="","",IF(L12&gt;0.004,"Le deben",IF(L12&lt;-0.004,"Debe pagar","En paz")))</f>
        <v/>
      </c>
      <c r="N12" s="26">
        <f>IF(C12="",0,MAX(0,-L12))</f>
        <v/>
      </c>
      <c r="O12" s="26">
        <f>IF(C12="",0,MAX(0,L12))</f>
        <v/>
      </c>
      <c r="P12" s="21" t="inlineStr"/>
      <c r="Q12" s="27">
        <f>IF(OR(C12="",H12=""),"",H12&amp;"|"&amp;COUNTIF($H$6:H12,H12))</f>
        <v/>
      </c>
    </row>
    <row r="13">
      <c r="B13" s="20">
        <f>IF(C13="","",ROW()-5)</f>
        <v/>
      </c>
      <c r="C13" s="21" t="inlineStr">
        <is>
          <t>Álvaro y Carla</t>
        </is>
      </c>
      <c r="D13" s="22" t="n">
        <v>2</v>
      </c>
      <c r="E13" s="23" t="n">
        <v>120</v>
      </c>
      <c r="F13" s="24" t="inlineStr">
        <is>
          <t>Mallorca</t>
        </is>
      </c>
      <c r="G13" s="24" t="inlineStr">
        <is>
          <t>Lisboa</t>
        </is>
      </c>
      <c r="H13" s="24" t="inlineStr">
        <is>
          <t>Hab. 3</t>
        </is>
      </c>
      <c r="I13" s="14">
        <f>IF(C13="","",SUMIF(Gastos!$F$8:$F$47,C13,Gastos!$C$8:$C$47))</f>
        <v/>
      </c>
      <c r="J13" s="14">
        <f>IF(C13="","",D13*(SUM(Gastos!$I$8:$I$47)-SUMIF(Gastos!$G$8:$G$47,C13,Gastos!$I$8:$I$47)))</f>
        <v/>
      </c>
      <c r="K13" s="14">
        <f>IF(C13="","",ROUND(N(E13)+I13-J13,2))</f>
        <v/>
      </c>
      <c r="L13" s="13">
        <f>IF(C13="","",IF(AND(Viaje!$C$7&lt;&gt;"",C13=Viaje!$C$7),-(SUM(K$6:K$35)-K13),K13))</f>
        <v/>
      </c>
      <c r="M13" s="25">
        <f>IF(C13="","",IF(L13&gt;0.004,"Le deben",IF(L13&lt;-0.004,"Debe pagar","En paz")))</f>
        <v/>
      </c>
      <c r="N13" s="26">
        <f>IF(C13="",0,MAX(0,-L13))</f>
        <v/>
      </c>
      <c r="O13" s="26">
        <f>IF(C13="",0,MAX(0,L13))</f>
        <v/>
      </c>
      <c r="P13" s="21" t="inlineStr">
        <is>
          <t>Pareja: cuentan como 2 personas</t>
        </is>
      </c>
      <c r="Q13" s="27">
        <f>IF(OR(C13="",H13=""),"",H13&amp;"|"&amp;COUNTIF($H$6:H13,H13))</f>
        <v/>
      </c>
    </row>
    <row r="14">
      <c r="B14" s="20">
        <f>IF(C14="","",ROW()-5)</f>
        <v/>
      </c>
      <c r="C14" s="21" t="inlineStr">
        <is>
          <t>Elena</t>
        </is>
      </c>
      <c r="D14" s="22" t="n">
        <v>1</v>
      </c>
      <c r="E14" s="23" t="n">
        <v>60</v>
      </c>
      <c r="F14" s="24" t="inlineStr">
        <is>
          <t>Lisboa</t>
        </is>
      </c>
      <c r="G14" s="24" t="inlineStr">
        <is>
          <t>Oporto</t>
        </is>
      </c>
      <c r="H14" s="24" t="inlineStr">
        <is>
          <t>Hab. 4</t>
        </is>
      </c>
      <c r="I14" s="14">
        <f>IF(C14="","",SUMIF(Gastos!$F$8:$F$47,C14,Gastos!$C$8:$C$47))</f>
        <v/>
      </c>
      <c r="J14" s="14">
        <f>IF(C14="","",D14*(SUM(Gastos!$I$8:$I$47)-SUMIF(Gastos!$G$8:$G$47,C14,Gastos!$I$8:$I$47)))</f>
        <v/>
      </c>
      <c r="K14" s="14">
        <f>IF(C14="","",ROUND(N(E14)+I14-J14,2))</f>
        <v/>
      </c>
      <c r="L14" s="13">
        <f>IF(C14="","",IF(AND(Viaje!$C$7&lt;&gt;"",C14=Viaje!$C$7),-(SUM(K$6:K$35)-K14),K14))</f>
        <v/>
      </c>
      <c r="M14" s="25">
        <f>IF(C14="","",IF(L14&gt;0.004,"Le deben",IF(L14&lt;-0.004,"Debe pagar","En paz")))</f>
        <v/>
      </c>
      <c r="N14" s="26">
        <f>IF(C14="",0,MAX(0,-L14))</f>
        <v/>
      </c>
      <c r="O14" s="26">
        <f>IF(C14="",0,MAX(0,L14))</f>
        <v/>
      </c>
      <c r="P14" s="21" t="inlineStr"/>
      <c r="Q14" s="27">
        <f>IF(OR(C14="",H14=""),"",H14&amp;"|"&amp;COUNTIF($H$6:H14,H14))</f>
        <v/>
      </c>
    </row>
    <row r="15">
      <c r="B15" s="20">
        <f>IF(C15="","",ROW()-5)</f>
        <v/>
      </c>
      <c r="C15" s="21" t="inlineStr">
        <is>
          <t>Jorge</t>
        </is>
      </c>
      <c r="D15" s="22" t="n">
        <v>1</v>
      </c>
      <c r="E15" s="23" t="n">
        <v>60</v>
      </c>
      <c r="F15" s="24" t="inlineStr">
        <is>
          <t>Valencia</t>
        </is>
      </c>
      <c r="G15" s="24" t="inlineStr">
        <is>
          <t>Granada</t>
        </is>
      </c>
      <c r="H15" s="24" t="inlineStr">
        <is>
          <t>Hab. 5</t>
        </is>
      </c>
      <c r="I15" s="14">
        <f>IF(C15="","",SUMIF(Gastos!$F$8:$F$47,C15,Gastos!$C$8:$C$47))</f>
        <v/>
      </c>
      <c r="J15" s="14">
        <f>IF(C15="","",D15*(SUM(Gastos!$I$8:$I$47)-SUMIF(Gastos!$G$8:$G$47,C15,Gastos!$I$8:$I$47)))</f>
        <v/>
      </c>
      <c r="K15" s="14">
        <f>IF(C15="","",ROUND(N(E15)+I15-J15,2))</f>
        <v/>
      </c>
      <c r="L15" s="13">
        <f>IF(C15="","",IF(AND(Viaje!$C$7&lt;&gt;"",C15=Viaje!$C$7),-(SUM(K$6:K$35)-K15),K15))</f>
        <v/>
      </c>
      <c r="M15" s="25">
        <f>IF(C15="","",IF(L15&gt;0.004,"Le deben",IF(L15&lt;-0.004,"Debe pagar","En paz")))</f>
        <v/>
      </c>
      <c r="N15" s="26">
        <f>IF(C15="",0,MAX(0,-L15))</f>
        <v/>
      </c>
      <c r="O15" s="26">
        <f>IF(C15="",0,MAX(0,L15))</f>
        <v/>
      </c>
      <c r="P15" s="21" t="inlineStr">
        <is>
          <t>Prefiere habitación individual</t>
        </is>
      </c>
      <c r="Q15" s="27">
        <f>IF(OR(C15="",H15=""),"",H15&amp;"|"&amp;COUNTIF($H$6:H15,H15))</f>
        <v/>
      </c>
    </row>
    <row r="16">
      <c r="B16" s="20">
        <f>IF(C16="","",ROW()-5)</f>
        <v/>
      </c>
      <c r="C16" s="21" t="inlineStr">
        <is>
          <t>Raúl</t>
        </is>
      </c>
      <c r="D16" s="22" t="n">
        <v>1</v>
      </c>
      <c r="E16" s="23" t="n">
        <v>60</v>
      </c>
      <c r="F16" s="24" t="inlineStr">
        <is>
          <t>San Sebastián</t>
        </is>
      </c>
      <c r="G16" s="24" t="inlineStr">
        <is>
          <t>Lisboa</t>
        </is>
      </c>
      <c r="H16" s="24" t="inlineStr">
        <is>
          <t>Hab. 6</t>
        </is>
      </c>
      <c r="I16" s="14">
        <f>IF(C16="","",SUMIF(Gastos!$F$8:$F$47,C16,Gastos!$C$8:$C$47))</f>
        <v/>
      </c>
      <c r="J16" s="14">
        <f>IF(C16="","",D16*(SUM(Gastos!$I$8:$I$47)-SUMIF(Gastos!$G$8:$G$47,C16,Gastos!$I$8:$I$47)))</f>
        <v/>
      </c>
      <c r="K16" s="14">
        <f>IF(C16="","",ROUND(N(E16)+I16-J16,2))</f>
        <v/>
      </c>
      <c r="L16" s="13">
        <f>IF(C16="","",IF(AND(Viaje!$C$7&lt;&gt;"",C16=Viaje!$C$7),-(SUM(K$6:K$35)-K16),K16))</f>
        <v/>
      </c>
      <c r="M16" s="25">
        <f>IF(C16="","",IF(L16&gt;0.004,"Le deben",IF(L16&lt;-0.004,"Debe pagar","En paz")))</f>
        <v/>
      </c>
      <c r="N16" s="26">
        <f>IF(C16="",0,MAX(0,-L16))</f>
        <v/>
      </c>
      <c r="O16" s="26">
        <f>IF(C16="",0,MAX(0,L16))</f>
        <v/>
      </c>
      <c r="P16" s="21" t="inlineStr"/>
      <c r="Q16" s="27">
        <f>IF(OR(C16="",H16=""),"",H16&amp;"|"&amp;COUNTIF($H$6:H16,H16))</f>
        <v/>
      </c>
    </row>
    <row r="17">
      <c r="B17" s="20">
        <f>IF(C17="","",ROW()-5)</f>
        <v/>
      </c>
      <c r="C17" s="21" t="inlineStr">
        <is>
          <t>Paula</t>
        </is>
      </c>
      <c r="D17" s="22" t="n">
        <v>1</v>
      </c>
      <c r="E17" s="23" t="n">
        <v>60</v>
      </c>
      <c r="F17" s="24" t="n"/>
      <c r="G17" s="24" t="n"/>
      <c r="H17" s="24" t="n"/>
      <c r="I17" s="14">
        <f>IF(C17="","",SUMIF(Gastos!$F$8:$F$47,C17,Gastos!$C$8:$C$47))</f>
        <v/>
      </c>
      <c r="J17" s="14">
        <f>IF(C17="","",D17*(SUM(Gastos!$I$8:$I$47)-SUMIF(Gastos!$G$8:$G$47,C17,Gastos!$I$8:$I$47)))</f>
        <v/>
      </c>
      <c r="K17" s="14">
        <f>IF(C17="","",ROUND(N(E17)+I17-J17,2))</f>
        <v/>
      </c>
      <c r="L17" s="13">
        <f>IF(C17="","",IF(AND(Viaje!$C$7&lt;&gt;"",C17=Viaje!$C$7),-(SUM(K$6:K$35)-K17),K17))</f>
        <v/>
      </c>
      <c r="M17" s="25">
        <f>IF(C17="","",IF(L17&gt;0.004,"Le deben",IF(L17&lt;-0.004,"Debe pagar","En paz")))</f>
        <v/>
      </c>
      <c r="N17" s="26">
        <f>IF(C17="",0,MAX(0,-L17))</f>
        <v/>
      </c>
      <c r="O17" s="26">
        <f>IF(C17="",0,MAX(0,L17))</f>
        <v/>
      </c>
      <c r="P17" s="21" t="inlineStr">
        <is>
          <t>Aún no ha votado ni elegido habitación</t>
        </is>
      </c>
      <c r="Q17" s="27">
        <f>IF(OR(C17="",H17=""),"",H17&amp;"|"&amp;COUNTIF($H$6:H17,H17))</f>
        <v/>
      </c>
    </row>
    <row r="18">
      <c r="B18" s="20">
        <f>IF(C18="","",ROW()-5)</f>
        <v/>
      </c>
      <c r="C18" s="21" t="n"/>
      <c r="D18" s="22" t="n">
        <v>1</v>
      </c>
      <c r="E18" s="23" t="n"/>
      <c r="F18" s="24" t="n"/>
      <c r="G18" s="24" t="n"/>
      <c r="H18" s="24" t="n"/>
      <c r="I18" s="14">
        <f>IF(C18="","",SUMIF(Gastos!$F$8:$F$47,C18,Gastos!$C$8:$C$47))</f>
        <v/>
      </c>
      <c r="J18" s="14">
        <f>IF(C18="","",D18*(SUM(Gastos!$I$8:$I$47)-SUMIF(Gastos!$G$8:$G$47,C18,Gastos!$I$8:$I$47)))</f>
        <v/>
      </c>
      <c r="K18" s="14">
        <f>IF(C18="","",ROUND(N(E18)+I18-J18,2))</f>
        <v/>
      </c>
      <c r="L18" s="13">
        <f>IF(C18="","",IF(AND(Viaje!$C$7&lt;&gt;"",C18=Viaje!$C$7),-(SUM(K$6:K$35)-K18),K18))</f>
        <v/>
      </c>
      <c r="M18" s="25">
        <f>IF(C18="","",IF(L18&gt;0.004,"Le deben",IF(L18&lt;-0.004,"Debe pagar","En paz")))</f>
        <v/>
      </c>
      <c r="N18" s="26">
        <f>IF(C18="",0,MAX(0,-L18))</f>
        <v/>
      </c>
      <c r="O18" s="26">
        <f>IF(C18="",0,MAX(0,L18))</f>
        <v/>
      </c>
      <c r="P18" s="21" t="n"/>
      <c r="Q18" s="27">
        <f>IF(OR(C18="",H18=""),"",H18&amp;"|"&amp;COUNTIF($H$6:H18,H18))</f>
        <v/>
      </c>
    </row>
    <row r="19">
      <c r="B19" s="20">
        <f>IF(C19="","",ROW()-5)</f>
        <v/>
      </c>
      <c r="C19" s="21" t="n"/>
      <c r="D19" s="22" t="n">
        <v>1</v>
      </c>
      <c r="E19" s="23" t="n"/>
      <c r="F19" s="24" t="n"/>
      <c r="G19" s="24" t="n"/>
      <c r="H19" s="24" t="n"/>
      <c r="I19" s="14">
        <f>IF(C19="","",SUMIF(Gastos!$F$8:$F$47,C19,Gastos!$C$8:$C$47))</f>
        <v/>
      </c>
      <c r="J19" s="14">
        <f>IF(C19="","",D19*(SUM(Gastos!$I$8:$I$47)-SUMIF(Gastos!$G$8:$G$47,C19,Gastos!$I$8:$I$47)))</f>
        <v/>
      </c>
      <c r="K19" s="14">
        <f>IF(C19="","",ROUND(N(E19)+I19-J19,2))</f>
        <v/>
      </c>
      <c r="L19" s="13">
        <f>IF(C19="","",IF(AND(Viaje!$C$7&lt;&gt;"",C19=Viaje!$C$7),-(SUM(K$6:K$35)-K19),K19))</f>
        <v/>
      </c>
      <c r="M19" s="25">
        <f>IF(C19="","",IF(L19&gt;0.004,"Le deben",IF(L19&lt;-0.004,"Debe pagar","En paz")))</f>
        <v/>
      </c>
      <c r="N19" s="26">
        <f>IF(C19="",0,MAX(0,-L19))</f>
        <v/>
      </c>
      <c r="O19" s="26">
        <f>IF(C19="",0,MAX(0,L19))</f>
        <v/>
      </c>
      <c r="P19" s="21" t="n"/>
      <c r="Q19" s="27">
        <f>IF(OR(C19="",H19=""),"",H19&amp;"|"&amp;COUNTIF($H$6:H19,H19))</f>
        <v/>
      </c>
    </row>
    <row r="20">
      <c r="B20" s="20">
        <f>IF(C20="","",ROW()-5)</f>
        <v/>
      </c>
      <c r="C20" s="21" t="n"/>
      <c r="D20" s="22" t="n">
        <v>1</v>
      </c>
      <c r="E20" s="23" t="n"/>
      <c r="F20" s="24" t="n"/>
      <c r="G20" s="24" t="n"/>
      <c r="H20" s="24" t="n"/>
      <c r="I20" s="14">
        <f>IF(C20="","",SUMIF(Gastos!$F$8:$F$47,C20,Gastos!$C$8:$C$47))</f>
        <v/>
      </c>
      <c r="J20" s="14">
        <f>IF(C20="","",D20*(SUM(Gastos!$I$8:$I$47)-SUMIF(Gastos!$G$8:$G$47,C20,Gastos!$I$8:$I$47)))</f>
        <v/>
      </c>
      <c r="K20" s="14">
        <f>IF(C20="","",ROUND(N(E20)+I20-J20,2))</f>
        <v/>
      </c>
      <c r="L20" s="13">
        <f>IF(C20="","",IF(AND(Viaje!$C$7&lt;&gt;"",C20=Viaje!$C$7),-(SUM(K$6:K$35)-K20),K20))</f>
        <v/>
      </c>
      <c r="M20" s="25">
        <f>IF(C20="","",IF(L20&gt;0.004,"Le deben",IF(L20&lt;-0.004,"Debe pagar","En paz")))</f>
        <v/>
      </c>
      <c r="N20" s="26">
        <f>IF(C20="",0,MAX(0,-L20))</f>
        <v/>
      </c>
      <c r="O20" s="26">
        <f>IF(C20="",0,MAX(0,L20))</f>
        <v/>
      </c>
      <c r="P20" s="21" t="n"/>
      <c r="Q20" s="27">
        <f>IF(OR(C20="",H20=""),"",H20&amp;"|"&amp;COUNTIF($H$6:H20,H20))</f>
        <v/>
      </c>
    </row>
    <row r="21">
      <c r="B21" s="20">
        <f>IF(C21="","",ROW()-5)</f>
        <v/>
      </c>
      <c r="C21" s="21" t="n"/>
      <c r="D21" s="22" t="n">
        <v>1</v>
      </c>
      <c r="E21" s="23" t="n"/>
      <c r="F21" s="24" t="n"/>
      <c r="G21" s="24" t="n"/>
      <c r="H21" s="24" t="n"/>
      <c r="I21" s="14">
        <f>IF(C21="","",SUMIF(Gastos!$F$8:$F$47,C21,Gastos!$C$8:$C$47))</f>
        <v/>
      </c>
      <c r="J21" s="14">
        <f>IF(C21="","",D21*(SUM(Gastos!$I$8:$I$47)-SUMIF(Gastos!$G$8:$G$47,C21,Gastos!$I$8:$I$47)))</f>
        <v/>
      </c>
      <c r="K21" s="14">
        <f>IF(C21="","",ROUND(N(E21)+I21-J21,2))</f>
        <v/>
      </c>
      <c r="L21" s="13">
        <f>IF(C21="","",IF(AND(Viaje!$C$7&lt;&gt;"",C21=Viaje!$C$7),-(SUM(K$6:K$35)-K21),K21))</f>
        <v/>
      </c>
      <c r="M21" s="25">
        <f>IF(C21="","",IF(L21&gt;0.004,"Le deben",IF(L21&lt;-0.004,"Debe pagar","En paz")))</f>
        <v/>
      </c>
      <c r="N21" s="26">
        <f>IF(C21="",0,MAX(0,-L21))</f>
        <v/>
      </c>
      <c r="O21" s="26">
        <f>IF(C21="",0,MAX(0,L21))</f>
        <v/>
      </c>
      <c r="P21" s="21" t="n"/>
      <c r="Q21" s="27">
        <f>IF(OR(C21="",H21=""),"",H21&amp;"|"&amp;COUNTIF($H$6:H21,H21))</f>
        <v/>
      </c>
    </row>
    <row r="22">
      <c r="B22" s="20">
        <f>IF(C22="","",ROW()-5)</f>
        <v/>
      </c>
      <c r="C22" s="21" t="n"/>
      <c r="D22" s="22" t="n">
        <v>1</v>
      </c>
      <c r="E22" s="23" t="n"/>
      <c r="F22" s="24" t="n"/>
      <c r="G22" s="24" t="n"/>
      <c r="H22" s="24" t="n"/>
      <c r="I22" s="14">
        <f>IF(C22="","",SUMIF(Gastos!$F$8:$F$47,C22,Gastos!$C$8:$C$47))</f>
        <v/>
      </c>
      <c r="J22" s="14">
        <f>IF(C22="","",D22*(SUM(Gastos!$I$8:$I$47)-SUMIF(Gastos!$G$8:$G$47,C22,Gastos!$I$8:$I$47)))</f>
        <v/>
      </c>
      <c r="K22" s="14">
        <f>IF(C22="","",ROUND(N(E22)+I22-J22,2))</f>
        <v/>
      </c>
      <c r="L22" s="13">
        <f>IF(C22="","",IF(AND(Viaje!$C$7&lt;&gt;"",C22=Viaje!$C$7),-(SUM(K$6:K$35)-K22),K22))</f>
        <v/>
      </c>
      <c r="M22" s="25">
        <f>IF(C22="","",IF(L22&gt;0.004,"Le deben",IF(L22&lt;-0.004,"Debe pagar","En paz")))</f>
        <v/>
      </c>
      <c r="N22" s="26">
        <f>IF(C22="",0,MAX(0,-L22))</f>
        <v/>
      </c>
      <c r="O22" s="26">
        <f>IF(C22="",0,MAX(0,L22))</f>
        <v/>
      </c>
      <c r="P22" s="21" t="n"/>
      <c r="Q22" s="27">
        <f>IF(OR(C22="",H22=""),"",H22&amp;"|"&amp;COUNTIF($H$6:H22,H22))</f>
        <v/>
      </c>
    </row>
    <row r="23">
      <c r="B23" s="20">
        <f>IF(C23="","",ROW()-5)</f>
        <v/>
      </c>
      <c r="C23" s="21" t="n"/>
      <c r="D23" s="22" t="n">
        <v>1</v>
      </c>
      <c r="E23" s="23" t="n"/>
      <c r="F23" s="24" t="n"/>
      <c r="G23" s="24" t="n"/>
      <c r="H23" s="24" t="n"/>
      <c r="I23" s="14">
        <f>IF(C23="","",SUMIF(Gastos!$F$8:$F$47,C23,Gastos!$C$8:$C$47))</f>
        <v/>
      </c>
      <c r="J23" s="14">
        <f>IF(C23="","",D23*(SUM(Gastos!$I$8:$I$47)-SUMIF(Gastos!$G$8:$G$47,C23,Gastos!$I$8:$I$47)))</f>
        <v/>
      </c>
      <c r="K23" s="14">
        <f>IF(C23="","",ROUND(N(E23)+I23-J23,2))</f>
        <v/>
      </c>
      <c r="L23" s="13">
        <f>IF(C23="","",IF(AND(Viaje!$C$7&lt;&gt;"",C23=Viaje!$C$7),-(SUM(K$6:K$35)-K23),K23))</f>
        <v/>
      </c>
      <c r="M23" s="25">
        <f>IF(C23="","",IF(L23&gt;0.004,"Le deben",IF(L23&lt;-0.004,"Debe pagar","En paz")))</f>
        <v/>
      </c>
      <c r="N23" s="26">
        <f>IF(C23="",0,MAX(0,-L23))</f>
        <v/>
      </c>
      <c r="O23" s="26">
        <f>IF(C23="",0,MAX(0,L23))</f>
        <v/>
      </c>
      <c r="P23" s="21" t="n"/>
      <c r="Q23" s="27">
        <f>IF(OR(C23="",H23=""),"",H23&amp;"|"&amp;COUNTIF($H$6:H23,H23))</f>
        <v/>
      </c>
    </row>
    <row r="24">
      <c r="B24" s="20">
        <f>IF(C24="","",ROW()-5)</f>
        <v/>
      </c>
      <c r="C24" s="21" t="n"/>
      <c r="D24" s="22" t="n">
        <v>1</v>
      </c>
      <c r="E24" s="23" t="n"/>
      <c r="F24" s="24" t="n"/>
      <c r="G24" s="24" t="n"/>
      <c r="H24" s="24" t="n"/>
      <c r="I24" s="14">
        <f>IF(C24="","",SUMIF(Gastos!$F$8:$F$47,C24,Gastos!$C$8:$C$47))</f>
        <v/>
      </c>
      <c r="J24" s="14">
        <f>IF(C24="","",D24*(SUM(Gastos!$I$8:$I$47)-SUMIF(Gastos!$G$8:$G$47,C24,Gastos!$I$8:$I$47)))</f>
        <v/>
      </c>
      <c r="K24" s="14">
        <f>IF(C24="","",ROUND(N(E24)+I24-J24,2))</f>
        <v/>
      </c>
      <c r="L24" s="13">
        <f>IF(C24="","",IF(AND(Viaje!$C$7&lt;&gt;"",C24=Viaje!$C$7),-(SUM(K$6:K$35)-K24),K24))</f>
        <v/>
      </c>
      <c r="M24" s="25">
        <f>IF(C24="","",IF(L24&gt;0.004,"Le deben",IF(L24&lt;-0.004,"Debe pagar","En paz")))</f>
        <v/>
      </c>
      <c r="N24" s="26">
        <f>IF(C24="",0,MAX(0,-L24))</f>
        <v/>
      </c>
      <c r="O24" s="26">
        <f>IF(C24="",0,MAX(0,L24))</f>
        <v/>
      </c>
      <c r="P24" s="21" t="n"/>
      <c r="Q24" s="27">
        <f>IF(OR(C24="",H24=""),"",H24&amp;"|"&amp;COUNTIF($H$6:H24,H24))</f>
        <v/>
      </c>
    </row>
    <row r="25">
      <c r="B25" s="20">
        <f>IF(C25="","",ROW()-5)</f>
        <v/>
      </c>
      <c r="C25" s="21" t="n"/>
      <c r="D25" s="22" t="n">
        <v>1</v>
      </c>
      <c r="E25" s="23" t="n"/>
      <c r="F25" s="24" t="n"/>
      <c r="G25" s="24" t="n"/>
      <c r="H25" s="24" t="n"/>
      <c r="I25" s="14">
        <f>IF(C25="","",SUMIF(Gastos!$F$8:$F$47,C25,Gastos!$C$8:$C$47))</f>
        <v/>
      </c>
      <c r="J25" s="14">
        <f>IF(C25="","",D25*(SUM(Gastos!$I$8:$I$47)-SUMIF(Gastos!$G$8:$G$47,C25,Gastos!$I$8:$I$47)))</f>
        <v/>
      </c>
      <c r="K25" s="14">
        <f>IF(C25="","",ROUND(N(E25)+I25-J25,2))</f>
        <v/>
      </c>
      <c r="L25" s="13">
        <f>IF(C25="","",IF(AND(Viaje!$C$7&lt;&gt;"",C25=Viaje!$C$7),-(SUM(K$6:K$35)-K25),K25))</f>
        <v/>
      </c>
      <c r="M25" s="25">
        <f>IF(C25="","",IF(L25&gt;0.004,"Le deben",IF(L25&lt;-0.004,"Debe pagar","En paz")))</f>
        <v/>
      </c>
      <c r="N25" s="26">
        <f>IF(C25="",0,MAX(0,-L25))</f>
        <v/>
      </c>
      <c r="O25" s="26">
        <f>IF(C25="",0,MAX(0,L25))</f>
        <v/>
      </c>
      <c r="P25" s="21" t="n"/>
      <c r="Q25" s="27">
        <f>IF(OR(C25="",H25=""),"",H25&amp;"|"&amp;COUNTIF($H$6:H25,H25))</f>
        <v/>
      </c>
    </row>
    <row r="26">
      <c r="B26" s="20">
        <f>IF(C26="","",ROW()-5)</f>
        <v/>
      </c>
      <c r="C26" s="21" t="n"/>
      <c r="D26" s="22" t="n">
        <v>1</v>
      </c>
      <c r="E26" s="23" t="n"/>
      <c r="F26" s="24" t="n"/>
      <c r="G26" s="24" t="n"/>
      <c r="H26" s="24" t="n"/>
      <c r="I26" s="14">
        <f>IF(C26="","",SUMIF(Gastos!$F$8:$F$47,C26,Gastos!$C$8:$C$47))</f>
        <v/>
      </c>
      <c r="J26" s="14">
        <f>IF(C26="","",D26*(SUM(Gastos!$I$8:$I$47)-SUMIF(Gastos!$G$8:$G$47,C26,Gastos!$I$8:$I$47)))</f>
        <v/>
      </c>
      <c r="K26" s="14">
        <f>IF(C26="","",ROUND(N(E26)+I26-J26,2))</f>
        <v/>
      </c>
      <c r="L26" s="13">
        <f>IF(C26="","",IF(AND(Viaje!$C$7&lt;&gt;"",C26=Viaje!$C$7),-(SUM(K$6:K$35)-K26),K26))</f>
        <v/>
      </c>
      <c r="M26" s="25">
        <f>IF(C26="","",IF(L26&gt;0.004,"Le deben",IF(L26&lt;-0.004,"Debe pagar","En paz")))</f>
        <v/>
      </c>
      <c r="N26" s="26">
        <f>IF(C26="",0,MAX(0,-L26))</f>
        <v/>
      </c>
      <c r="O26" s="26">
        <f>IF(C26="",0,MAX(0,L26))</f>
        <v/>
      </c>
      <c r="P26" s="21" t="n"/>
      <c r="Q26" s="27">
        <f>IF(OR(C26="",H26=""),"",H26&amp;"|"&amp;COUNTIF($H$6:H26,H26))</f>
        <v/>
      </c>
    </row>
    <row r="27">
      <c r="B27" s="20">
        <f>IF(C27="","",ROW()-5)</f>
        <v/>
      </c>
      <c r="C27" s="21" t="n"/>
      <c r="D27" s="22" t="n">
        <v>1</v>
      </c>
      <c r="E27" s="23" t="n"/>
      <c r="F27" s="24" t="n"/>
      <c r="G27" s="24" t="n"/>
      <c r="H27" s="24" t="n"/>
      <c r="I27" s="14">
        <f>IF(C27="","",SUMIF(Gastos!$F$8:$F$47,C27,Gastos!$C$8:$C$47))</f>
        <v/>
      </c>
      <c r="J27" s="14">
        <f>IF(C27="","",D27*(SUM(Gastos!$I$8:$I$47)-SUMIF(Gastos!$G$8:$G$47,C27,Gastos!$I$8:$I$47)))</f>
        <v/>
      </c>
      <c r="K27" s="14">
        <f>IF(C27="","",ROUND(N(E27)+I27-J27,2))</f>
        <v/>
      </c>
      <c r="L27" s="13">
        <f>IF(C27="","",IF(AND(Viaje!$C$7&lt;&gt;"",C27=Viaje!$C$7),-(SUM(K$6:K$35)-K27),K27))</f>
        <v/>
      </c>
      <c r="M27" s="25">
        <f>IF(C27="","",IF(L27&gt;0.004,"Le deben",IF(L27&lt;-0.004,"Debe pagar","En paz")))</f>
        <v/>
      </c>
      <c r="N27" s="26">
        <f>IF(C27="",0,MAX(0,-L27))</f>
        <v/>
      </c>
      <c r="O27" s="26">
        <f>IF(C27="",0,MAX(0,L27))</f>
        <v/>
      </c>
      <c r="P27" s="21" t="n"/>
      <c r="Q27" s="27">
        <f>IF(OR(C27="",H27=""),"",H27&amp;"|"&amp;COUNTIF($H$6:H27,H27))</f>
        <v/>
      </c>
    </row>
    <row r="28">
      <c r="B28" s="20">
        <f>IF(C28="","",ROW()-5)</f>
        <v/>
      </c>
      <c r="C28" s="21" t="n"/>
      <c r="D28" s="22" t="n">
        <v>1</v>
      </c>
      <c r="E28" s="23" t="n"/>
      <c r="F28" s="24" t="n"/>
      <c r="G28" s="24" t="n"/>
      <c r="H28" s="24" t="n"/>
      <c r="I28" s="14">
        <f>IF(C28="","",SUMIF(Gastos!$F$8:$F$47,C28,Gastos!$C$8:$C$47))</f>
        <v/>
      </c>
      <c r="J28" s="14">
        <f>IF(C28="","",D28*(SUM(Gastos!$I$8:$I$47)-SUMIF(Gastos!$G$8:$G$47,C28,Gastos!$I$8:$I$47)))</f>
        <v/>
      </c>
      <c r="K28" s="14">
        <f>IF(C28="","",ROUND(N(E28)+I28-J28,2))</f>
        <v/>
      </c>
      <c r="L28" s="13">
        <f>IF(C28="","",IF(AND(Viaje!$C$7&lt;&gt;"",C28=Viaje!$C$7),-(SUM(K$6:K$35)-K28),K28))</f>
        <v/>
      </c>
      <c r="M28" s="25">
        <f>IF(C28="","",IF(L28&gt;0.004,"Le deben",IF(L28&lt;-0.004,"Debe pagar","En paz")))</f>
        <v/>
      </c>
      <c r="N28" s="26">
        <f>IF(C28="",0,MAX(0,-L28))</f>
        <v/>
      </c>
      <c r="O28" s="26">
        <f>IF(C28="",0,MAX(0,L28))</f>
        <v/>
      </c>
      <c r="P28" s="21" t="n"/>
      <c r="Q28" s="27">
        <f>IF(OR(C28="",H28=""),"",H28&amp;"|"&amp;COUNTIF($H$6:H28,H28))</f>
        <v/>
      </c>
    </row>
    <row r="29">
      <c r="B29" s="20">
        <f>IF(C29="","",ROW()-5)</f>
        <v/>
      </c>
      <c r="C29" s="21" t="n"/>
      <c r="D29" s="22" t="n">
        <v>1</v>
      </c>
      <c r="E29" s="23" t="n"/>
      <c r="F29" s="24" t="n"/>
      <c r="G29" s="24" t="n"/>
      <c r="H29" s="24" t="n"/>
      <c r="I29" s="14">
        <f>IF(C29="","",SUMIF(Gastos!$F$8:$F$47,C29,Gastos!$C$8:$C$47))</f>
        <v/>
      </c>
      <c r="J29" s="14">
        <f>IF(C29="","",D29*(SUM(Gastos!$I$8:$I$47)-SUMIF(Gastos!$G$8:$G$47,C29,Gastos!$I$8:$I$47)))</f>
        <v/>
      </c>
      <c r="K29" s="14">
        <f>IF(C29="","",ROUND(N(E29)+I29-J29,2))</f>
        <v/>
      </c>
      <c r="L29" s="13">
        <f>IF(C29="","",IF(AND(Viaje!$C$7&lt;&gt;"",C29=Viaje!$C$7),-(SUM(K$6:K$35)-K29),K29))</f>
        <v/>
      </c>
      <c r="M29" s="25">
        <f>IF(C29="","",IF(L29&gt;0.004,"Le deben",IF(L29&lt;-0.004,"Debe pagar","En paz")))</f>
        <v/>
      </c>
      <c r="N29" s="26">
        <f>IF(C29="",0,MAX(0,-L29))</f>
        <v/>
      </c>
      <c r="O29" s="26">
        <f>IF(C29="",0,MAX(0,L29))</f>
        <v/>
      </c>
      <c r="P29" s="21" t="n"/>
      <c r="Q29" s="27">
        <f>IF(OR(C29="",H29=""),"",H29&amp;"|"&amp;COUNTIF($H$6:H29,H29))</f>
        <v/>
      </c>
    </row>
    <row r="30">
      <c r="B30" s="20">
        <f>IF(C30="","",ROW()-5)</f>
        <v/>
      </c>
      <c r="C30" s="21" t="n"/>
      <c r="D30" s="22" t="n">
        <v>1</v>
      </c>
      <c r="E30" s="23" t="n"/>
      <c r="F30" s="24" t="n"/>
      <c r="G30" s="24" t="n"/>
      <c r="H30" s="24" t="n"/>
      <c r="I30" s="14">
        <f>IF(C30="","",SUMIF(Gastos!$F$8:$F$47,C30,Gastos!$C$8:$C$47))</f>
        <v/>
      </c>
      <c r="J30" s="14">
        <f>IF(C30="","",D30*(SUM(Gastos!$I$8:$I$47)-SUMIF(Gastos!$G$8:$G$47,C30,Gastos!$I$8:$I$47)))</f>
        <v/>
      </c>
      <c r="K30" s="14">
        <f>IF(C30="","",ROUND(N(E30)+I30-J30,2))</f>
        <v/>
      </c>
      <c r="L30" s="13">
        <f>IF(C30="","",IF(AND(Viaje!$C$7&lt;&gt;"",C30=Viaje!$C$7),-(SUM(K$6:K$35)-K30),K30))</f>
        <v/>
      </c>
      <c r="M30" s="25">
        <f>IF(C30="","",IF(L30&gt;0.004,"Le deben",IF(L30&lt;-0.004,"Debe pagar","En paz")))</f>
        <v/>
      </c>
      <c r="N30" s="26">
        <f>IF(C30="",0,MAX(0,-L30))</f>
        <v/>
      </c>
      <c r="O30" s="26">
        <f>IF(C30="",0,MAX(0,L30))</f>
        <v/>
      </c>
      <c r="P30" s="21" t="n"/>
      <c r="Q30" s="27">
        <f>IF(OR(C30="",H30=""),"",H30&amp;"|"&amp;COUNTIF($H$6:H30,H30))</f>
        <v/>
      </c>
    </row>
    <row r="31">
      <c r="B31" s="20">
        <f>IF(C31="","",ROW()-5)</f>
        <v/>
      </c>
      <c r="C31" s="21" t="n"/>
      <c r="D31" s="22" t="n">
        <v>1</v>
      </c>
      <c r="E31" s="23" t="n"/>
      <c r="F31" s="24" t="n"/>
      <c r="G31" s="24" t="n"/>
      <c r="H31" s="24" t="n"/>
      <c r="I31" s="14">
        <f>IF(C31="","",SUMIF(Gastos!$F$8:$F$47,C31,Gastos!$C$8:$C$47))</f>
        <v/>
      </c>
      <c r="J31" s="14">
        <f>IF(C31="","",D31*(SUM(Gastos!$I$8:$I$47)-SUMIF(Gastos!$G$8:$G$47,C31,Gastos!$I$8:$I$47)))</f>
        <v/>
      </c>
      <c r="K31" s="14">
        <f>IF(C31="","",ROUND(N(E31)+I31-J31,2))</f>
        <v/>
      </c>
      <c r="L31" s="13">
        <f>IF(C31="","",IF(AND(Viaje!$C$7&lt;&gt;"",C31=Viaje!$C$7),-(SUM(K$6:K$35)-K31),K31))</f>
        <v/>
      </c>
      <c r="M31" s="25">
        <f>IF(C31="","",IF(L31&gt;0.004,"Le deben",IF(L31&lt;-0.004,"Debe pagar","En paz")))</f>
        <v/>
      </c>
      <c r="N31" s="26">
        <f>IF(C31="",0,MAX(0,-L31))</f>
        <v/>
      </c>
      <c r="O31" s="26">
        <f>IF(C31="",0,MAX(0,L31))</f>
        <v/>
      </c>
      <c r="P31" s="21" t="n"/>
      <c r="Q31" s="27">
        <f>IF(OR(C31="",H31=""),"",H31&amp;"|"&amp;COUNTIF($H$6:H31,H31))</f>
        <v/>
      </c>
    </row>
    <row r="32">
      <c r="B32" s="20">
        <f>IF(C32="","",ROW()-5)</f>
        <v/>
      </c>
      <c r="C32" s="21" t="n"/>
      <c r="D32" s="22" t="n">
        <v>1</v>
      </c>
      <c r="E32" s="23" t="n"/>
      <c r="F32" s="24" t="n"/>
      <c r="G32" s="24" t="n"/>
      <c r="H32" s="24" t="n"/>
      <c r="I32" s="14">
        <f>IF(C32="","",SUMIF(Gastos!$F$8:$F$47,C32,Gastos!$C$8:$C$47))</f>
        <v/>
      </c>
      <c r="J32" s="14">
        <f>IF(C32="","",D32*(SUM(Gastos!$I$8:$I$47)-SUMIF(Gastos!$G$8:$G$47,C32,Gastos!$I$8:$I$47)))</f>
        <v/>
      </c>
      <c r="K32" s="14">
        <f>IF(C32="","",ROUND(N(E32)+I32-J32,2))</f>
        <v/>
      </c>
      <c r="L32" s="13">
        <f>IF(C32="","",IF(AND(Viaje!$C$7&lt;&gt;"",C32=Viaje!$C$7),-(SUM(K$6:K$35)-K32),K32))</f>
        <v/>
      </c>
      <c r="M32" s="25">
        <f>IF(C32="","",IF(L32&gt;0.004,"Le deben",IF(L32&lt;-0.004,"Debe pagar","En paz")))</f>
        <v/>
      </c>
      <c r="N32" s="26">
        <f>IF(C32="",0,MAX(0,-L32))</f>
        <v/>
      </c>
      <c r="O32" s="26">
        <f>IF(C32="",0,MAX(0,L32))</f>
        <v/>
      </c>
      <c r="P32" s="21" t="n"/>
      <c r="Q32" s="27">
        <f>IF(OR(C32="",H32=""),"",H32&amp;"|"&amp;COUNTIF($H$6:H32,H32))</f>
        <v/>
      </c>
    </row>
    <row r="33">
      <c r="B33" s="20">
        <f>IF(C33="","",ROW()-5)</f>
        <v/>
      </c>
      <c r="C33" s="21" t="n"/>
      <c r="D33" s="22" t="n">
        <v>1</v>
      </c>
      <c r="E33" s="23" t="n"/>
      <c r="F33" s="24" t="n"/>
      <c r="G33" s="24" t="n"/>
      <c r="H33" s="24" t="n"/>
      <c r="I33" s="14">
        <f>IF(C33="","",SUMIF(Gastos!$F$8:$F$47,C33,Gastos!$C$8:$C$47))</f>
        <v/>
      </c>
      <c r="J33" s="14">
        <f>IF(C33="","",D33*(SUM(Gastos!$I$8:$I$47)-SUMIF(Gastos!$G$8:$G$47,C33,Gastos!$I$8:$I$47)))</f>
        <v/>
      </c>
      <c r="K33" s="14">
        <f>IF(C33="","",ROUND(N(E33)+I33-J33,2))</f>
        <v/>
      </c>
      <c r="L33" s="13">
        <f>IF(C33="","",IF(AND(Viaje!$C$7&lt;&gt;"",C33=Viaje!$C$7),-(SUM(K$6:K$35)-K33),K33))</f>
        <v/>
      </c>
      <c r="M33" s="25">
        <f>IF(C33="","",IF(L33&gt;0.004,"Le deben",IF(L33&lt;-0.004,"Debe pagar","En paz")))</f>
        <v/>
      </c>
      <c r="N33" s="26">
        <f>IF(C33="",0,MAX(0,-L33))</f>
        <v/>
      </c>
      <c r="O33" s="26">
        <f>IF(C33="",0,MAX(0,L33))</f>
        <v/>
      </c>
      <c r="P33" s="21" t="n"/>
      <c r="Q33" s="27">
        <f>IF(OR(C33="",H33=""),"",H33&amp;"|"&amp;COUNTIF($H$6:H33,H33))</f>
        <v/>
      </c>
    </row>
    <row r="34">
      <c r="B34" s="20">
        <f>IF(C34="","",ROW()-5)</f>
        <v/>
      </c>
      <c r="C34" s="21" t="n"/>
      <c r="D34" s="22" t="n">
        <v>1</v>
      </c>
      <c r="E34" s="23" t="n"/>
      <c r="F34" s="24" t="n"/>
      <c r="G34" s="24" t="n"/>
      <c r="H34" s="24" t="n"/>
      <c r="I34" s="14">
        <f>IF(C34="","",SUMIF(Gastos!$F$8:$F$47,C34,Gastos!$C$8:$C$47))</f>
        <v/>
      </c>
      <c r="J34" s="14">
        <f>IF(C34="","",D34*(SUM(Gastos!$I$8:$I$47)-SUMIF(Gastos!$G$8:$G$47,C34,Gastos!$I$8:$I$47)))</f>
        <v/>
      </c>
      <c r="K34" s="14">
        <f>IF(C34="","",ROUND(N(E34)+I34-J34,2))</f>
        <v/>
      </c>
      <c r="L34" s="13">
        <f>IF(C34="","",IF(AND(Viaje!$C$7&lt;&gt;"",C34=Viaje!$C$7),-(SUM(K$6:K$35)-K34),K34))</f>
        <v/>
      </c>
      <c r="M34" s="25">
        <f>IF(C34="","",IF(L34&gt;0.004,"Le deben",IF(L34&lt;-0.004,"Debe pagar","En paz")))</f>
        <v/>
      </c>
      <c r="N34" s="26">
        <f>IF(C34="",0,MAX(0,-L34))</f>
        <v/>
      </c>
      <c r="O34" s="26">
        <f>IF(C34="",0,MAX(0,L34))</f>
        <v/>
      </c>
      <c r="P34" s="21" t="n"/>
      <c r="Q34" s="27">
        <f>IF(OR(C34="",H34=""),"",H34&amp;"|"&amp;COUNTIF($H$6:H34,H34))</f>
        <v/>
      </c>
    </row>
    <row r="35">
      <c r="B35" s="20">
        <f>IF(C35="","",ROW()-5)</f>
        <v/>
      </c>
      <c r="C35" s="21" t="n"/>
      <c r="D35" s="22" t="n">
        <v>1</v>
      </c>
      <c r="E35" s="23" t="n"/>
      <c r="F35" s="24" t="n"/>
      <c r="G35" s="24" t="n"/>
      <c r="H35" s="24" t="n"/>
      <c r="I35" s="14">
        <f>IF(C35="","",SUMIF(Gastos!$F$8:$F$47,C35,Gastos!$C$8:$C$47))</f>
        <v/>
      </c>
      <c r="J35" s="14">
        <f>IF(C35="","",D35*(SUM(Gastos!$I$8:$I$47)-SUMIF(Gastos!$G$8:$G$47,C35,Gastos!$I$8:$I$47)))</f>
        <v/>
      </c>
      <c r="K35" s="14">
        <f>IF(C35="","",ROUND(N(E35)+I35-J35,2))</f>
        <v/>
      </c>
      <c r="L35" s="13">
        <f>IF(C35="","",IF(AND(Viaje!$C$7&lt;&gt;"",C35=Viaje!$C$7),-(SUM(K$6:K$35)-K35),K35))</f>
        <v/>
      </c>
      <c r="M35" s="25">
        <f>IF(C35="","",IF(L35&gt;0.004,"Le deben",IF(L35&lt;-0.004,"Debe pagar","En paz")))</f>
        <v/>
      </c>
      <c r="N35" s="26">
        <f>IF(C35="",0,MAX(0,-L35))</f>
        <v/>
      </c>
      <c r="O35" s="26">
        <f>IF(C35="",0,MAX(0,L35))</f>
        <v/>
      </c>
      <c r="P35" s="21" t="n"/>
      <c r="Q35" s="27">
        <f>IF(OR(C35="",H35=""),"",H35&amp;"|"&amp;COUNTIF($H$6:H35,H35))</f>
        <v/>
      </c>
    </row>
    <row r="36">
      <c r="B36" s="16" t="inlineStr"/>
      <c r="C36" s="16" t="inlineStr">
        <is>
          <t>Totales</t>
        </is>
      </c>
      <c r="D36" s="28">
        <f>SUMPRODUCT((C6:C35&lt;&gt;"")*D6:D35)</f>
        <v/>
      </c>
      <c r="E36" s="17">
        <f>SUM(E6:E35)</f>
        <v/>
      </c>
      <c r="F36" s="16" t="inlineStr"/>
      <c r="G36" s="16" t="inlineStr"/>
      <c r="H36" s="16" t="inlineStr"/>
      <c r="I36" s="17">
        <f>SUM(I6:I35)</f>
        <v/>
      </c>
      <c r="J36" s="17">
        <f>SUM(J6:J35)</f>
        <v/>
      </c>
      <c r="K36" s="16" t="inlineStr"/>
      <c r="L36" s="17">
        <f>SUM(L6:L35)</f>
        <v/>
      </c>
      <c r="M36" s="16" t="inlineStr"/>
      <c r="N36" s="17">
        <f>SUM(N6:N35)</f>
        <v/>
      </c>
      <c r="O36" s="17">
        <f>SUM(O6:O35)</f>
        <v/>
      </c>
      <c r="P36" s="16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P3"/>
    <mergeCell ref="B2:P2"/>
  </mergeCells>
  <conditionalFormatting sqref="M6:M35">
    <cfRule type="cellIs" priority="1" operator="equal" dxfId="0">
      <formula>"Debe pagar"</formula>
    </cfRule>
    <cfRule type="cellIs" priority="2" operator="equal" dxfId="2">
      <formula>"Le deben"</formula>
    </cfRule>
  </conditionalFormatting>
  <conditionalFormatting sqref="E6:E35">
    <cfRule type="dataBar" priority="3">
      <dataBar>
        <cfvo type="num" val="0"/>
        <cfvo type="max"/>
        <color rgb="0010B981"/>
      </dataBar>
    </cfRule>
  </conditionalFormatting>
  <dataValidations count="4">
    <dataValidation sqref="F6:G35" showDropDown="0" showInputMessage="0" showErrorMessage="0" allowBlank="1" type="list">
      <formula1>=Viaje!$B$16:$B$25</formula1>
    </dataValidation>
    <dataValidation sqref="H6:H35" showDropDown="0" showInputMessage="0" showErrorMessage="0" allowBlank="1" type="list">
      <formula1>=Viaje!$B$31:$B$40</formula1>
    </dataValidation>
    <dataValidation sqref="D6:D35" showDropDown="0" showInputMessage="0" showErrorMessage="1" allowBlank="1" errorTitle="Personas" error="Escribe cuántas personas representa la fila: 1, 2, 0,5 (niño)..." type="decimal" operator="greaterThan">
      <formula1>0</formula1>
    </dataValidation>
    <dataValidation sqref="E6:E35" showDropDown="0" showInputMessage="0" showErrorMessage="1" allowBlank="1" errorTitle="Importe" error="Escribe un importe igual o mayor que 0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N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8" customWidth="1" min="2" max="2"/>
    <col width="13" customWidth="1" min="3" max="3"/>
    <col width="18" customWidth="1" min="4" max="4"/>
    <col width="12" customWidth="1" min="5" max="5"/>
    <col width="17" customWidth="1" min="6" max="6"/>
    <col width="16" customWidth="1" min="7" max="7"/>
    <col width="12" customWidth="1" min="8" max="8"/>
    <col width="14" customWidth="1" min="9" max="9"/>
    <col width="26" customWidth="1" min="10" max="10"/>
    <col width="3" customWidth="1" min="11" max="11"/>
    <col width="20" customWidth="1" min="12" max="12"/>
    <col width="13" customWidth="1" min="13" max="13"/>
    <col width="12" customWidth="1" min="14" max="14"/>
  </cols>
  <sheetData>
    <row r="2" ht="34" customHeight="1">
      <c r="B2" s="1" t="inlineStr">
        <is>
          <t>Gastos del viaje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Apunta cada gasto: quién lo pagó (o «Bote común») y, si alguien no participó, a quién excluir del reparto.</t>
        </is>
      </c>
    </row>
    <row r="5">
      <c r="B5" s="29" t="inlineStr">
        <is>
          <t>Total gastado:</t>
        </is>
      </c>
      <c r="C5" s="17">
        <f>SUM(C8:C47)</f>
        <v/>
      </c>
      <c r="D5" s="30" t="inlineStr">
        <is>
          <t>Pagado con el bote:</t>
        </is>
      </c>
      <c r="E5" s="17">
        <f>SUMIF(F8:F47,"Bote común",C8:C47)</f>
        <v/>
      </c>
      <c r="F5" s="31" t="n"/>
    </row>
    <row r="6">
      <c r="L6" s="10" t="inlineStr">
        <is>
          <t>POR CATEGORÍA</t>
        </is>
      </c>
    </row>
    <row r="7" ht="44" customHeight="1">
      <c r="B7" s="11" t="inlineStr">
        <is>
          <t>Concepto</t>
        </is>
      </c>
      <c r="C7" s="11" t="inlineStr">
        <is>
          <t>Importe (€)</t>
        </is>
      </c>
      <c r="D7" s="11" t="inlineStr">
        <is>
          <t>Categoría</t>
        </is>
      </c>
      <c r="E7" s="11" t="inlineStr">
        <is>
          <t>Fecha</t>
        </is>
      </c>
      <c r="F7" s="11" t="inlineStr">
        <is>
          <t>Pagado por</t>
        </is>
      </c>
      <c r="G7" s="11" t="inlineStr">
        <is>
          <t>Excluye a (opcional)</t>
        </is>
      </c>
      <c r="H7" s="11" t="inlineStr">
        <is>
          <t>Reparto entre (personas)</t>
        </is>
      </c>
      <c r="I7" s="11" t="inlineStr">
        <is>
          <t>Coste por persona (€)</t>
        </is>
      </c>
      <c r="J7" s="11" t="inlineStr">
        <is>
          <t>Nota</t>
        </is>
      </c>
      <c r="L7" s="11" t="inlineStr">
        <is>
          <t>Categoría</t>
        </is>
      </c>
      <c r="M7" s="11" t="inlineStr">
        <is>
          <t>Importe</t>
        </is>
      </c>
      <c r="N7" s="11" t="inlineStr">
        <is>
          <t>% del gasto</t>
        </is>
      </c>
    </row>
    <row r="8">
      <c r="B8" s="21" t="inlineStr">
        <is>
          <t>Señal del alojamiento (reserva)</t>
        </is>
      </c>
      <c r="C8" s="23" t="n">
        <v>640</v>
      </c>
      <c r="D8" s="24" t="inlineStr">
        <is>
          <t>Alojamiento</t>
        </is>
      </c>
      <c r="E8" s="32" t="n">
        <v>46307</v>
      </c>
      <c r="F8" s="24" t="inlineStr">
        <is>
          <t>Bote común</t>
        </is>
      </c>
      <c r="G8" s="24" t="n"/>
      <c r="H8" s="33">
        <f>IF(C8="","",Participantes!$D$36-IF(G8="",0,IFERROR(INDEX(Participantes!$D$6:$D$35,MATCH(G8,Participantes!$C$6:$C$35,0)),0)))</f>
        <v/>
      </c>
      <c r="I8" s="13">
        <f>IF(OR(C8="",N(H8)&lt;=0),"",C8/H8)</f>
        <v/>
      </c>
      <c r="J8" s="21" t="inlineStr">
        <is>
          <t>Pagada desde el bote</t>
        </is>
      </c>
      <c r="L8" s="12">
        <f>Listas!A2</f>
        <v/>
      </c>
      <c r="M8" s="34">
        <f>SUMIF($D$8:$D$47,L8,$C$8:$C$47)</f>
        <v/>
      </c>
      <c r="N8" s="35">
        <f>IF($M$14=0,0,M8/$M$14)</f>
        <v/>
      </c>
    </row>
    <row r="9">
      <c r="B9" s="21" t="inlineStr">
        <is>
          <t>Alquiler del coche (4 días)</t>
        </is>
      </c>
      <c r="C9" s="23" t="n">
        <v>210</v>
      </c>
      <c r="D9" s="24" t="inlineStr">
        <is>
          <t>Transporte</t>
        </is>
      </c>
      <c r="E9" s="32" t="n">
        <v>46346</v>
      </c>
      <c r="F9" s="24" t="inlineStr">
        <is>
          <t>Pablo</t>
        </is>
      </c>
      <c r="G9" s="24" t="n"/>
      <c r="H9" s="33">
        <f>IF(C9="","",Participantes!$D$36-IF(G9="",0,IFERROR(INDEX(Participantes!$D$6:$D$35,MATCH(G9,Participantes!$C$6:$C$35,0)),0)))</f>
        <v/>
      </c>
      <c r="I9" s="13">
        <f>IF(OR(C9="",N(H9)&lt;=0),"",C9/H9)</f>
        <v/>
      </c>
      <c r="J9" s="21" t="inlineStr"/>
      <c r="L9" s="12">
        <f>Listas!A3</f>
        <v/>
      </c>
      <c r="M9" s="34">
        <f>SUMIF($D$8:$D$47,L9,$C$8:$C$47)</f>
        <v/>
      </c>
      <c r="N9" s="35">
        <f>IF($M$14=0,0,M9/$M$14)</f>
        <v/>
      </c>
    </row>
    <row r="10">
      <c r="B10" s="21" t="inlineStr">
        <is>
          <t>Gasolina</t>
        </is>
      </c>
      <c r="C10" s="23" t="n">
        <v>68.40000000000001</v>
      </c>
      <c r="D10" s="24" t="inlineStr">
        <is>
          <t>Transporte</t>
        </is>
      </c>
      <c r="E10" s="32" t="n">
        <v>46360</v>
      </c>
      <c r="F10" s="24" t="inlineStr">
        <is>
          <t>Pablo</t>
        </is>
      </c>
      <c r="G10" s="24" t="n"/>
      <c r="H10" s="33">
        <f>IF(C10="","",Participantes!$D$36-IF(G10="",0,IFERROR(INDEX(Participantes!$D$6:$D$35,MATCH(G10,Participantes!$C$6:$C$35,0)),0)))</f>
        <v/>
      </c>
      <c r="I10" s="13">
        <f>IF(OR(C10="",N(H10)&lt;=0),"",C10/H10)</f>
        <v/>
      </c>
      <c r="J10" s="21" t="inlineStr"/>
      <c r="L10" s="12">
        <f>Listas!A4</f>
        <v/>
      </c>
      <c r="M10" s="34">
        <f>SUMIF($D$8:$D$47,L10,$C$8:$C$47)</f>
        <v/>
      </c>
      <c r="N10" s="35">
        <f>IF($M$14=0,0,M10/$M$14)</f>
        <v/>
      </c>
    </row>
    <row r="11">
      <c r="B11" s="21" t="inlineStr">
        <is>
          <t>Peajes</t>
        </is>
      </c>
      <c r="C11" s="23" t="n">
        <v>23.8</v>
      </c>
      <c r="D11" s="24" t="inlineStr">
        <is>
          <t>Transporte</t>
        </is>
      </c>
      <c r="E11" s="32" t="n">
        <v>46360</v>
      </c>
      <c r="F11" s="24" t="inlineStr">
        <is>
          <t>Pablo</t>
        </is>
      </c>
      <c r="G11" s="24" t="n"/>
      <c r="H11" s="33">
        <f>IF(C11="","",Participantes!$D$36-IF(G11="",0,IFERROR(INDEX(Participantes!$D$6:$D$35,MATCH(G11,Participantes!$C$6:$C$35,0)),0)))</f>
        <v/>
      </c>
      <c r="I11" s="13">
        <f>IF(OR(C11="",N(H11)&lt;=0),"",C11/H11)</f>
        <v/>
      </c>
      <c r="J11" s="21" t="inlineStr"/>
      <c r="L11" s="12">
        <f>Listas!A5</f>
        <v/>
      </c>
      <c r="M11" s="34">
        <f>SUMIF($D$8:$D$47,L11,$C$8:$C$47)</f>
        <v/>
      </c>
      <c r="N11" s="35">
        <f>IF($M$14=0,0,M11/$M$14)</f>
        <v/>
      </c>
    </row>
    <row r="12">
      <c r="B12" s="21" t="inlineStr">
        <is>
          <t>Compra del supermercado (primer día)</t>
        </is>
      </c>
      <c r="C12" s="23" t="n">
        <v>96.3</v>
      </c>
      <c r="D12" s="24" t="inlineStr">
        <is>
          <t>Compras comunes</t>
        </is>
      </c>
      <c r="E12" s="32" t="n">
        <v>46360</v>
      </c>
      <c r="F12" s="24" t="inlineStr">
        <is>
          <t>Irene</t>
        </is>
      </c>
      <c r="G12" s="24" t="n"/>
      <c r="H12" s="33">
        <f>IF(C12="","",Participantes!$D$36-IF(G12="",0,IFERROR(INDEX(Participantes!$D$6:$D$35,MATCH(G12,Participantes!$C$6:$C$35,0)),0)))</f>
        <v/>
      </c>
      <c r="I12" s="13">
        <f>IF(OR(C12="",N(H12)&lt;=0),"",C12/H12)</f>
        <v/>
      </c>
      <c r="J12" s="21" t="inlineStr"/>
      <c r="L12" s="12">
        <f>Listas!A6</f>
        <v/>
      </c>
      <c r="M12" s="34">
        <f>SUMIF($D$8:$D$47,L12,$C$8:$C$47)</f>
        <v/>
      </c>
      <c r="N12" s="35">
        <f>IF($M$14=0,0,M12/$M$14)</f>
        <v/>
      </c>
    </row>
    <row r="13">
      <c r="B13" s="21" t="inlineStr">
        <is>
          <t>Comida del sábado</t>
        </is>
      </c>
      <c r="C13" s="23" t="n">
        <v>78.90000000000001</v>
      </c>
      <c r="D13" s="24" t="inlineStr">
        <is>
          <t>Comida y bebida</t>
        </is>
      </c>
      <c r="E13" s="32" t="n">
        <v>46361</v>
      </c>
      <c r="F13" s="24" t="inlineStr">
        <is>
          <t>Marta</t>
        </is>
      </c>
      <c r="G13" s="24" t="n"/>
      <c r="H13" s="33">
        <f>IF(C13="","",Participantes!$D$36-IF(G13="",0,IFERROR(INDEX(Participantes!$D$6:$D$35,MATCH(G13,Participantes!$C$6:$C$35,0)),0)))</f>
        <v/>
      </c>
      <c r="I13" s="13">
        <f>IF(OR(C13="",N(H13)&lt;=0),"",C13/H13)</f>
        <v/>
      </c>
      <c r="J13" s="21" t="inlineStr"/>
      <c r="L13" s="12">
        <f>Listas!A7</f>
        <v/>
      </c>
      <c r="M13" s="34">
        <f>SUMIF($D$8:$D$47,L13,$C$8:$C$47)</f>
        <v/>
      </c>
      <c r="N13" s="35">
        <f>IF($M$14=0,0,M13/$M$14)</f>
        <v/>
      </c>
    </row>
    <row r="14">
      <c r="B14" s="21" t="inlineStr">
        <is>
          <t>Entradas al museo</t>
        </is>
      </c>
      <c r="C14" s="23" t="n">
        <v>54</v>
      </c>
      <c r="D14" s="24" t="inlineStr">
        <is>
          <t>Ocio y entradas</t>
        </is>
      </c>
      <c r="E14" s="32" t="n">
        <v>46361</v>
      </c>
      <c r="F14" s="24" t="inlineStr">
        <is>
          <t>Sergio</t>
        </is>
      </c>
      <c r="G14" s="24" t="inlineStr">
        <is>
          <t>Jorge</t>
        </is>
      </c>
      <c r="H14" s="33">
        <f>IF(C14="","",Participantes!$D$36-IF(G14="",0,IFERROR(INDEX(Participantes!$D$6:$D$35,MATCH(G14,Participantes!$C$6:$C$35,0)),0)))</f>
        <v/>
      </c>
      <c r="I14" s="13">
        <f>IF(OR(C14="",N(H14)&lt;=0),"",C14/H14)</f>
        <v/>
      </c>
      <c r="J14" s="21" t="inlineStr">
        <is>
          <t>Jorge no entró</t>
        </is>
      </c>
      <c r="L14" s="16" t="inlineStr">
        <is>
          <t>Total</t>
        </is>
      </c>
      <c r="M14" s="17">
        <f>SUM(M8:M13)</f>
        <v/>
      </c>
      <c r="N14" s="36">
        <f>SUM(N8:N13)</f>
        <v/>
      </c>
    </row>
    <row r="15">
      <c r="B15" s="21" t="inlineStr">
        <is>
          <t>Cena de grupo</t>
        </is>
      </c>
      <c r="C15" s="23" t="n">
        <v>187.5</v>
      </c>
      <c r="D15" s="24" t="inlineStr">
        <is>
          <t>Comida y bebida</t>
        </is>
      </c>
      <c r="E15" s="32" t="n">
        <v>46361</v>
      </c>
      <c r="F15" s="24" t="inlineStr">
        <is>
          <t>Lucía</t>
        </is>
      </c>
      <c r="G15" s="24" t="n"/>
      <c r="H15" s="33">
        <f>IF(C15="","",Participantes!$D$36-IF(G15="",0,IFERROR(INDEX(Participantes!$D$6:$D$35,MATCH(G15,Participantes!$C$6:$C$35,0)),0)))</f>
        <v/>
      </c>
      <c r="I15" s="13">
        <f>IF(OR(C15="",N(H15)&lt;=0),"",C15/H15)</f>
        <v/>
      </c>
      <c r="J15" s="21" t="inlineStr"/>
    </row>
    <row r="16">
      <c r="B16" s="21" t="inlineStr">
        <is>
          <t>Excursión en barco</t>
        </is>
      </c>
      <c r="C16" s="23" t="n">
        <v>120</v>
      </c>
      <c r="D16" s="24" t="inlineStr">
        <is>
          <t>Ocio y entradas</t>
        </is>
      </c>
      <c r="E16" s="32" t="n">
        <v>46362</v>
      </c>
      <c r="F16" s="24" t="inlineStr">
        <is>
          <t>Nuria</t>
        </is>
      </c>
      <c r="G16" s="24" t="inlineStr">
        <is>
          <t>Paula</t>
        </is>
      </c>
      <c r="H16" s="33">
        <f>IF(C16="","",Participantes!$D$36-IF(G16="",0,IFERROR(INDEX(Participantes!$D$6:$D$35,MATCH(G16,Participantes!$C$6:$C$35,0)),0)))</f>
        <v/>
      </c>
      <c r="I16" s="13">
        <f>IF(OR(C16="",N(H16)&lt;=0),"",C16/H16)</f>
        <v/>
      </c>
      <c r="J16" s="21" t="inlineStr">
        <is>
          <t>Paula se quedó en el alojamiento</t>
        </is>
      </c>
      <c r="L16" s="37" t="inlineStr">
        <is>
          <t>Si dejas «Excluye a» vacío, el gasto se reparte entre todos.</t>
        </is>
      </c>
    </row>
    <row r="17">
      <c r="B17" s="21" t="inlineStr">
        <is>
          <t>Parking</t>
        </is>
      </c>
      <c r="C17" s="23" t="n">
        <v>31</v>
      </c>
      <c r="D17" s="24" t="inlineStr">
        <is>
          <t>Transporte</t>
        </is>
      </c>
      <c r="E17" s="32" t="n">
        <v>46362</v>
      </c>
      <c r="F17" s="24" t="inlineStr">
        <is>
          <t>Pablo</t>
        </is>
      </c>
      <c r="G17" s="24" t="n"/>
      <c r="H17" s="33">
        <f>IF(C17="","",Participantes!$D$36-IF(G17="",0,IFERROR(INDEX(Participantes!$D$6:$D$35,MATCH(G17,Participantes!$C$6:$C$35,0)),0)))</f>
        <v/>
      </c>
      <c r="I17" s="13">
        <f>IF(OR(C17="",N(H17)&lt;=0),"",C17/H17)</f>
        <v/>
      </c>
      <c r="J17" s="21" t="inlineStr"/>
    </row>
    <row r="18">
      <c r="B18" s="21" t="inlineStr">
        <is>
          <t>Desayunos</t>
        </is>
      </c>
      <c r="C18" s="23" t="n">
        <v>42.6</v>
      </c>
      <c r="D18" s="24" t="inlineStr">
        <is>
          <t>Comida y bebida</t>
        </is>
      </c>
      <c r="E18" s="32" t="n">
        <v>46363</v>
      </c>
      <c r="F18" s="24" t="inlineStr">
        <is>
          <t>Elena</t>
        </is>
      </c>
      <c r="G18" s="24" t="n"/>
      <c r="H18" s="33">
        <f>IF(C18="","",Participantes!$D$36-IF(G18="",0,IFERROR(INDEX(Participantes!$D$6:$D$35,MATCH(G18,Participantes!$C$6:$C$35,0)),0)))</f>
        <v/>
      </c>
      <c r="I18" s="13">
        <f>IF(OR(C18="",N(H18)&lt;=0),"",C18/H18)</f>
        <v/>
      </c>
      <c r="J18" s="21" t="inlineStr"/>
    </row>
    <row r="19">
      <c r="B19" s="21" t="inlineStr">
        <is>
          <t>Billetes de metro y tranvía</t>
        </is>
      </c>
      <c r="C19" s="23" t="n">
        <v>28</v>
      </c>
      <c r="D19" s="24" t="inlineStr">
        <is>
          <t>Transporte</t>
        </is>
      </c>
      <c r="E19" s="32" t="n">
        <v>46363</v>
      </c>
      <c r="F19" s="24" t="inlineStr">
        <is>
          <t>Bote común</t>
        </is>
      </c>
      <c r="G19" s="24" t="n"/>
      <c r="H19" s="33">
        <f>IF(C19="","",Participantes!$D$36-IF(G19="",0,IFERROR(INDEX(Participantes!$D$6:$D$35,MATCH(G19,Participantes!$C$6:$C$35,0)),0)))</f>
        <v/>
      </c>
      <c r="I19" s="13">
        <f>IF(OR(C19="",N(H19)&lt;=0),"",C19/H19)</f>
        <v/>
      </c>
      <c r="J19" s="21" t="inlineStr">
        <is>
          <t>Pagados con la tarjeta del bote</t>
        </is>
      </c>
    </row>
    <row r="20">
      <c r="B20" s="21" t="inlineStr">
        <is>
          <t>Taxi al aeropuerto</t>
        </is>
      </c>
      <c r="C20" s="23" t="n">
        <v>45</v>
      </c>
      <c r="D20" s="24" t="inlineStr">
        <is>
          <t>Transporte</t>
        </is>
      </c>
      <c r="E20" s="32" t="n">
        <v>46364</v>
      </c>
      <c r="F20" s="24" t="inlineStr">
        <is>
          <t>Jorge</t>
        </is>
      </c>
      <c r="G20" s="24" t="n"/>
      <c r="H20" s="33">
        <f>IF(C20="","",Participantes!$D$36-IF(G20="",0,IFERROR(INDEX(Participantes!$D$6:$D$35,MATCH(G20,Participantes!$C$6:$C$35,0)),0)))</f>
        <v/>
      </c>
      <c r="I20" s="13">
        <f>IF(OR(C20="",N(H20)&lt;=0),"",C20/H20)</f>
        <v/>
      </c>
      <c r="J20" s="21" t="inlineStr"/>
    </row>
    <row r="21">
      <c r="B21" s="21" t="n"/>
      <c r="C21" s="23" t="n"/>
      <c r="D21" s="24" t="n"/>
      <c r="E21" s="32" t="n"/>
      <c r="F21" s="24" t="n"/>
      <c r="G21" s="24" t="n"/>
      <c r="H21" s="33">
        <f>IF(C21="","",Participantes!$D$36-IF(G21="",0,IFERROR(INDEX(Participantes!$D$6:$D$35,MATCH(G21,Participantes!$C$6:$C$35,0)),0)))</f>
        <v/>
      </c>
      <c r="I21" s="13">
        <f>IF(OR(C21="",N(H21)&lt;=0),"",C21/H21)</f>
        <v/>
      </c>
      <c r="J21" s="21" t="n"/>
    </row>
    <row r="22">
      <c r="B22" s="21" t="n"/>
      <c r="C22" s="23" t="n"/>
      <c r="D22" s="24" t="n"/>
      <c r="E22" s="32" t="n"/>
      <c r="F22" s="24" t="n"/>
      <c r="G22" s="24" t="n"/>
      <c r="H22" s="33">
        <f>IF(C22="","",Participantes!$D$36-IF(G22="",0,IFERROR(INDEX(Participantes!$D$6:$D$35,MATCH(G22,Participantes!$C$6:$C$35,0)),0)))</f>
        <v/>
      </c>
      <c r="I22" s="13">
        <f>IF(OR(C22="",N(H22)&lt;=0),"",C22/H22)</f>
        <v/>
      </c>
      <c r="J22" s="21" t="n"/>
    </row>
    <row r="23">
      <c r="B23" s="21" t="n"/>
      <c r="C23" s="23" t="n"/>
      <c r="D23" s="24" t="n"/>
      <c r="E23" s="32" t="n"/>
      <c r="F23" s="24" t="n"/>
      <c r="G23" s="24" t="n"/>
      <c r="H23" s="33">
        <f>IF(C23="","",Participantes!$D$36-IF(G23="",0,IFERROR(INDEX(Participantes!$D$6:$D$35,MATCH(G23,Participantes!$C$6:$C$35,0)),0)))</f>
        <v/>
      </c>
      <c r="I23" s="13">
        <f>IF(OR(C23="",N(H23)&lt;=0),"",C23/H23)</f>
        <v/>
      </c>
      <c r="J23" s="21" t="n"/>
    </row>
    <row r="24">
      <c r="B24" s="21" t="n"/>
      <c r="C24" s="23" t="n"/>
      <c r="D24" s="24" t="n"/>
      <c r="E24" s="32" t="n"/>
      <c r="F24" s="24" t="n"/>
      <c r="G24" s="24" t="n"/>
      <c r="H24" s="33">
        <f>IF(C24="","",Participantes!$D$36-IF(G24="",0,IFERROR(INDEX(Participantes!$D$6:$D$35,MATCH(G24,Participantes!$C$6:$C$35,0)),0)))</f>
        <v/>
      </c>
      <c r="I24" s="13">
        <f>IF(OR(C24="",N(H24)&lt;=0),"",C24/H24)</f>
        <v/>
      </c>
      <c r="J24" s="21" t="n"/>
    </row>
    <row r="25">
      <c r="B25" s="21" t="n"/>
      <c r="C25" s="23" t="n"/>
      <c r="D25" s="24" t="n"/>
      <c r="E25" s="32" t="n"/>
      <c r="F25" s="24" t="n"/>
      <c r="G25" s="24" t="n"/>
      <c r="H25" s="33">
        <f>IF(C25="","",Participantes!$D$36-IF(G25="",0,IFERROR(INDEX(Participantes!$D$6:$D$35,MATCH(G25,Participantes!$C$6:$C$35,0)),0)))</f>
        <v/>
      </c>
      <c r="I25" s="13">
        <f>IF(OR(C25="",N(H25)&lt;=0),"",C25/H25)</f>
        <v/>
      </c>
      <c r="J25" s="21" t="n"/>
    </row>
    <row r="26">
      <c r="B26" s="21" t="n"/>
      <c r="C26" s="23" t="n"/>
      <c r="D26" s="24" t="n"/>
      <c r="E26" s="32" t="n"/>
      <c r="F26" s="24" t="n"/>
      <c r="G26" s="24" t="n"/>
      <c r="H26" s="33">
        <f>IF(C26="","",Participantes!$D$36-IF(G26="",0,IFERROR(INDEX(Participantes!$D$6:$D$35,MATCH(G26,Participantes!$C$6:$C$35,0)),0)))</f>
        <v/>
      </c>
      <c r="I26" s="13">
        <f>IF(OR(C26="",N(H26)&lt;=0),"",C26/H26)</f>
        <v/>
      </c>
      <c r="J26" s="21" t="n"/>
    </row>
    <row r="27">
      <c r="B27" s="21" t="n"/>
      <c r="C27" s="23" t="n"/>
      <c r="D27" s="24" t="n"/>
      <c r="E27" s="32" t="n"/>
      <c r="F27" s="24" t="n"/>
      <c r="G27" s="24" t="n"/>
      <c r="H27" s="33">
        <f>IF(C27="","",Participantes!$D$36-IF(G27="",0,IFERROR(INDEX(Participantes!$D$6:$D$35,MATCH(G27,Participantes!$C$6:$C$35,0)),0)))</f>
        <v/>
      </c>
      <c r="I27" s="13">
        <f>IF(OR(C27="",N(H27)&lt;=0),"",C27/H27)</f>
        <v/>
      </c>
      <c r="J27" s="21" t="n"/>
    </row>
    <row r="28">
      <c r="B28" s="21" t="n"/>
      <c r="C28" s="23" t="n"/>
      <c r="D28" s="24" t="n"/>
      <c r="E28" s="32" t="n"/>
      <c r="F28" s="24" t="n"/>
      <c r="G28" s="24" t="n"/>
      <c r="H28" s="33">
        <f>IF(C28="","",Participantes!$D$36-IF(G28="",0,IFERROR(INDEX(Participantes!$D$6:$D$35,MATCH(G28,Participantes!$C$6:$C$35,0)),0)))</f>
        <v/>
      </c>
      <c r="I28" s="13">
        <f>IF(OR(C28="",N(H28)&lt;=0),"",C28/H28)</f>
        <v/>
      </c>
      <c r="J28" s="21" t="n"/>
    </row>
    <row r="29">
      <c r="B29" s="21" t="n"/>
      <c r="C29" s="23" t="n"/>
      <c r="D29" s="24" t="n"/>
      <c r="E29" s="32" t="n"/>
      <c r="F29" s="24" t="n"/>
      <c r="G29" s="24" t="n"/>
      <c r="H29" s="33">
        <f>IF(C29="","",Participantes!$D$36-IF(G29="",0,IFERROR(INDEX(Participantes!$D$6:$D$35,MATCH(G29,Participantes!$C$6:$C$35,0)),0)))</f>
        <v/>
      </c>
      <c r="I29" s="13">
        <f>IF(OR(C29="",N(H29)&lt;=0),"",C29/H29)</f>
        <v/>
      </c>
      <c r="J29" s="21" t="n"/>
    </row>
    <row r="30">
      <c r="B30" s="21" t="n"/>
      <c r="C30" s="23" t="n"/>
      <c r="D30" s="24" t="n"/>
      <c r="E30" s="32" t="n"/>
      <c r="F30" s="24" t="n"/>
      <c r="G30" s="24" t="n"/>
      <c r="H30" s="33">
        <f>IF(C30="","",Participantes!$D$36-IF(G30="",0,IFERROR(INDEX(Participantes!$D$6:$D$35,MATCH(G30,Participantes!$C$6:$C$35,0)),0)))</f>
        <v/>
      </c>
      <c r="I30" s="13">
        <f>IF(OR(C30="",N(H30)&lt;=0),"",C30/H30)</f>
        <v/>
      </c>
      <c r="J30" s="21" t="n"/>
    </row>
    <row r="31">
      <c r="B31" s="21" t="n"/>
      <c r="C31" s="23" t="n"/>
      <c r="D31" s="24" t="n"/>
      <c r="E31" s="32" t="n"/>
      <c r="F31" s="24" t="n"/>
      <c r="G31" s="24" t="n"/>
      <c r="H31" s="33">
        <f>IF(C31="","",Participantes!$D$36-IF(G31="",0,IFERROR(INDEX(Participantes!$D$6:$D$35,MATCH(G31,Participantes!$C$6:$C$35,0)),0)))</f>
        <v/>
      </c>
      <c r="I31" s="13">
        <f>IF(OR(C31="",N(H31)&lt;=0),"",C31/H31)</f>
        <v/>
      </c>
      <c r="J31" s="21" t="n"/>
    </row>
    <row r="32">
      <c r="B32" s="21" t="n"/>
      <c r="C32" s="23" t="n"/>
      <c r="D32" s="24" t="n"/>
      <c r="E32" s="32" t="n"/>
      <c r="F32" s="24" t="n"/>
      <c r="G32" s="24" t="n"/>
      <c r="H32" s="33">
        <f>IF(C32="","",Participantes!$D$36-IF(G32="",0,IFERROR(INDEX(Participantes!$D$6:$D$35,MATCH(G32,Participantes!$C$6:$C$35,0)),0)))</f>
        <v/>
      </c>
      <c r="I32" s="13">
        <f>IF(OR(C32="",N(H32)&lt;=0),"",C32/H32)</f>
        <v/>
      </c>
      <c r="J32" s="21" t="n"/>
    </row>
    <row r="33">
      <c r="B33" s="21" t="n"/>
      <c r="C33" s="23" t="n"/>
      <c r="D33" s="24" t="n"/>
      <c r="E33" s="32" t="n"/>
      <c r="F33" s="24" t="n"/>
      <c r="G33" s="24" t="n"/>
      <c r="H33" s="33">
        <f>IF(C33="","",Participantes!$D$36-IF(G33="",0,IFERROR(INDEX(Participantes!$D$6:$D$35,MATCH(G33,Participantes!$C$6:$C$35,0)),0)))</f>
        <v/>
      </c>
      <c r="I33" s="13">
        <f>IF(OR(C33="",N(H33)&lt;=0),"",C33/H33)</f>
        <v/>
      </c>
      <c r="J33" s="21" t="n"/>
    </row>
    <row r="34">
      <c r="B34" s="21" t="n"/>
      <c r="C34" s="23" t="n"/>
      <c r="D34" s="24" t="n"/>
      <c r="E34" s="32" t="n"/>
      <c r="F34" s="24" t="n"/>
      <c r="G34" s="24" t="n"/>
      <c r="H34" s="33">
        <f>IF(C34="","",Participantes!$D$36-IF(G34="",0,IFERROR(INDEX(Participantes!$D$6:$D$35,MATCH(G34,Participantes!$C$6:$C$35,0)),0)))</f>
        <v/>
      </c>
      <c r="I34" s="13">
        <f>IF(OR(C34="",N(H34)&lt;=0),"",C34/H34)</f>
        <v/>
      </c>
      <c r="J34" s="21" t="n"/>
    </row>
    <row r="35">
      <c r="B35" s="21" t="n"/>
      <c r="C35" s="23" t="n"/>
      <c r="D35" s="24" t="n"/>
      <c r="E35" s="32" t="n"/>
      <c r="F35" s="24" t="n"/>
      <c r="G35" s="24" t="n"/>
      <c r="H35" s="33">
        <f>IF(C35="","",Participantes!$D$36-IF(G35="",0,IFERROR(INDEX(Participantes!$D$6:$D$35,MATCH(G35,Participantes!$C$6:$C$35,0)),0)))</f>
        <v/>
      </c>
      <c r="I35" s="13">
        <f>IF(OR(C35="",N(H35)&lt;=0),"",C35/H35)</f>
        <v/>
      </c>
      <c r="J35" s="21" t="n"/>
    </row>
    <row r="36">
      <c r="B36" s="21" t="n"/>
      <c r="C36" s="23" t="n"/>
      <c r="D36" s="24" t="n"/>
      <c r="E36" s="32" t="n"/>
      <c r="F36" s="24" t="n"/>
      <c r="G36" s="24" t="n"/>
      <c r="H36" s="33">
        <f>IF(C36="","",Participantes!$D$36-IF(G36="",0,IFERROR(INDEX(Participantes!$D$6:$D$35,MATCH(G36,Participantes!$C$6:$C$35,0)),0)))</f>
        <v/>
      </c>
      <c r="I36" s="13">
        <f>IF(OR(C36="",N(H36)&lt;=0),"",C36/H36)</f>
        <v/>
      </c>
      <c r="J36" s="21" t="n"/>
    </row>
    <row r="37">
      <c r="B37" s="21" t="n"/>
      <c r="C37" s="23" t="n"/>
      <c r="D37" s="24" t="n"/>
      <c r="E37" s="32" t="n"/>
      <c r="F37" s="24" t="n"/>
      <c r="G37" s="24" t="n"/>
      <c r="H37" s="33">
        <f>IF(C37="","",Participantes!$D$36-IF(G37="",0,IFERROR(INDEX(Participantes!$D$6:$D$35,MATCH(G37,Participantes!$C$6:$C$35,0)),0)))</f>
        <v/>
      </c>
      <c r="I37" s="13">
        <f>IF(OR(C37="",N(H37)&lt;=0),"",C37/H37)</f>
        <v/>
      </c>
      <c r="J37" s="21" t="n"/>
    </row>
    <row r="38">
      <c r="B38" s="21" t="n"/>
      <c r="C38" s="23" t="n"/>
      <c r="D38" s="24" t="n"/>
      <c r="E38" s="32" t="n"/>
      <c r="F38" s="24" t="n"/>
      <c r="G38" s="24" t="n"/>
      <c r="H38" s="33">
        <f>IF(C38="","",Participantes!$D$36-IF(G38="",0,IFERROR(INDEX(Participantes!$D$6:$D$35,MATCH(G38,Participantes!$C$6:$C$35,0)),0)))</f>
        <v/>
      </c>
      <c r="I38" s="13">
        <f>IF(OR(C38="",N(H38)&lt;=0),"",C38/H38)</f>
        <v/>
      </c>
      <c r="J38" s="21" t="n"/>
    </row>
    <row r="39">
      <c r="B39" s="21" t="n"/>
      <c r="C39" s="23" t="n"/>
      <c r="D39" s="24" t="n"/>
      <c r="E39" s="32" t="n"/>
      <c r="F39" s="24" t="n"/>
      <c r="G39" s="24" t="n"/>
      <c r="H39" s="33">
        <f>IF(C39="","",Participantes!$D$36-IF(G39="",0,IFERROR(INDEX(Participantes!$D$6:$D$35,MATCH(G39,Participantes!$C$6:$C$35,0)),0)))</f>
        <v/>
      </c>
      <c r="I39" s="13">
        <f>IF(OR(C39="",N(H39)&lt;=0),"",C39/H39)</f>
        <v/>
      </c>
      <c r="J39" s="21" t="n"/>
    </row>
    <row r="40">
      <c r="B40" s="21" t="n"/>
      <c r="C40" s="23" t="n"/>
      <c r="D40" s="24" t="n"/>
      <c r="E40" s="32" t="n"/>
      <c r="F40" s="24" t="n"/>
      <c r="G40" s="24" t="n"/>
      <c r="H40" s="33">
        <f>IF(C40="","",Participantes!$D$36-IF(G40="",0,IFERROR(INDEX(Participantes!$D$6:$D$35,MATCH(G40,Participantes!$C$6:$C$35,0)),0)))</f>
        <v/>
      </c>
      <c r="I40" s="13">
        <f>IF(OR(C40="",N(H40)&lt;=0),"",C40/H40)</f>
        <v/>
      </c>
      <c r="J40" s="21" t="n"/>
    </row>
    <row r="41">
      <c r="B41" s="21" t="n"/>
      <c r="C41" s="23" t="n"/>
      <c r="D41" s="24" t="n"/>
      <c r="E41" s="32" t="n"/>
      <c r="F41" s="24" t="n"/>
      <c r="G41" s="24" t="n"/>
      <c r="H41" s="33">
        <f>IF(C41="","",Participantes!$D$36-IF(G41="",0,IFERROR(INDEX(Participantes!$D$6:$D$35,MATCH(G41,Participantes!$C$6:$C$35,0)),0)))</f>
        <v/>
      </c>
      <c r="I41" s="13">
        <f>IF(OR(C41="",N(H41)&lt;=0),"",C41/H41)</f>
        <v/>
      </c>
      <c r="J41" s="21" t="n"/>
    </row>
    <row r="42">
      <c r="B42" s="21" t="n"/>
      <c r="C42" s="23" t="n"/>
      <c r="D42" s="24" t="n"/>
      <c r="E42" s="32" t="n"/>
      <c r="F42" s="24" t="n"/>
      <c r="G42" s="24" t="n"/>
      <c r="H42" s="33">
        <f>IF(C42="","",Participantes!$D$36-IF(G42="",0,IFERROR(INDEX(Participantes!$D$6:$D$35,MATCH(G42,Participantes!$C$6:$C$35,0)),0)))</f>
        <v/>
      </c>
      <c r="I42" s="13">
        <f>IF(OR(C42="",N(H42)&lt;=0),"",C42/H42)</f>
        <v/>
      </c>
      <c r="J42" s="21" t="n"/>
    </row>
    <row r="43">
      <c r="B43" s="21" t="n"/>
      <c r="C43" s="23" t="n"/>
      <c r="D43" s="24" t="n"/>
      <c r="E43" s="32" t="n"/>
      <c r="F43" s="24" t="n"/>
      <c r="G43" s="24" t="n"/>
      <c r="H43" s="33">
        <f>IF(C43="","",Participantes!$D$36-IF(G43="",0,IFERROR(INDEX(Participantes!$D$6:$D$35,MATCH(G43,Participantes!$C$6:$C$35,0)),0)))</f>
        <v/>
      </c>
      <c r="I43" s="13">
        <f>IF(OR(C43="",N(H43)&lt;=0),"",C43/H43)</f>
        <v/>
      </c>
      <c r="J43" s="21" t="n"/>
    </row>
    <row r="44">
      <c r="B44" s="21" t="n"/>
      <c r="C44" s="23" t="n"/>
      <c r="D44" s="24" t="n"/>
      <c r="E44" s="32" t="n"/>
      <c r="F44" s="24" t="n"/>
      <c r="G44" s="24" t="n"/>
      <c r="H44" s="33">
        <f>IF(C44="","",Participantes!$D$36-IF(G44="",0,IFERROR(INDEX(Participantes!$D$6:$D$35,MATCH(G44,Participantes!$C$6:$C$35,0)),0)))</f>
        <v/>
      </c>
      <c r="I44" s="13">
        <f>IF(OR(C44="",N(H44)&lt;=0),"",C44/H44)</f>
        <v/>
      </c>
      <c r="J44" s="21" t="n"/>
    </row>
    <row r="45">
      <c r="B45" s="21" t="n"/>
      <c r="C45" s="23" t="n"/>
      <c r="D45" s="24" t="n"/>
      <c r="E45" s="32" t="n"/>
      <c r="F45" s="24" t="n"/>
      <c r="G45" s="24" t="n"/>
      <c r="H45" s="33">
        <f>IF(C45="","",Participantes!$D$36-IF(G45="",0,IFERROR(INDEX(Participantes!$D$6:$D$35,MATCH(G45,Participantes!$C$6:$C$35,0)),0)))</f>
        <v/>
      </c>
      <c r="I45" s="13">
        <f>IF(OR(C45="",N(H45)&lt;=0),"",C45/H45)</f>
        <v/>
      </c>
      <c r="J45" s="21" t="n"/>
    </row>
    <row r="46">
      <c r="B46" s="21" t="n"/>
      <c r="C46" s="23" t="n"/>
      <c r="D46" s="24" t="n"/>
      <c r="E46" s="32" t="n"/>
      <c r="F46" s="24" t="n"/>
      <c r="G46" s="24" t="n"/>
      <c r="H46" s="33">
        <f>IF(C46="","",Participantes!$D$36-IF(G46="",0,IFERROR(INDEX(Participantes!$D$6:$D$35,MATCH(G46,Participantes!$C$6:$C$35,0)),0)))</f>
        <v/>
      </c>
      <c r="I46" s="13">
        <f>IF(OR(C46="",N(H46)&lt;=0),"",C46/H46)</f>
        <v/>
      </c>
      <c r="J46" s="21" t="n"/>
    </row>
    <row r="47">
      <c r="B47" s="21" t="n"/>
      <c r="C47" s="23" t="n"/>
      <c r="D47" s="24" t="n"/>
      <c r="E47" s="32" t="n"/>
      <c r="F47" s="24" t="n"/>
      <c r="G47" s="24" t="n"/>
      <c r="H47" s="33">
        <f>IF(C47="","",Participantes!$D$36-IF(G47="",0,IFERROR(INDEX(Participantes!$D$6:$D$35,MATCH(G47,Participantes!$C$6:$C$35,0)),0)))</f>
        <v/>
      </c>
      <c r="I47" s="13">
        <f>IF(OR(C47="",N(H47)&lt;=0),"",C47/H47)</f>
        <v/>
      </c>
      <c r="J47" s="21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E5:F5"/>
    <mergeCell ref="B3:J3"/>
    <mergeCell ref="B2:J2"/>
  </mergeCells>
  <conditionalFormatting sqref="F8:F47">
    <cfRule type="expression" priority="1" dxfId="0">
      <formula>AND($C8&lt;&gt;"",ISNA(MATCH($F8,Listas!$B$2:$B$32,0)))</formula>
    </cfRule>
  </conditionalFormatting>
  <conditionalFormatting sqref="C8:C47">
    <cfRule type="dataBar" priority="2">
      <dataBar>
        <cfvo type="num" val="0"/>
        <cfvo type="max"/>
        <color rgb="0034D399"/>
      </dataBar>
    </cfRule>
  </conditionalFormatting>
  <conditionalFormatting sqref="M8:M13">
    <cfRule type="dataBar" priority="3">
      <dataBar>
        <cfvo type="num" val="0"/>
        <cfvo type="max"/>
        <color rgb="0034D399"/>
      </dataBar>
    </cfRule>
  </conditionalFormatting>
  <dataValidations count="5">
    <dataValidation sqref="D8:D47" showDropDown="0" showInputMessage="0" showErrorMessage="0" allowBlank="1" type="list">
      <formula1>=Listas!$A$2:$A$7</formula1>
    </dataValidation>
    <dataValidation sqref="F8:F47" showDropDown="0" showInputMessage="0" showErrorMessage="0" allowBlank="1" type="list">
      <formula1>=Listas!$B$2:$B$32</formula1>
    </dataValidation>
    <dataValidation sqref="G8:G47" showDropDown="0" showInputMessage="0" showErrorMessage="0" allowBlank="1" type="list">
      <formula1>=Participantes!$C$6:$C$35</formula1>
    </dataValidation>
    <dataValidation sqref="C8:C47" showDropDown="0" showInputMessage="0" showErrorMessage="1" allowBlank="1" errorTitle="Importe" error="Escribe un importe igual o mayor que 0." type="decimal" operator="greaterThanOrEqual">
      <formula1>0</formula1>
    </dataValidation>
    <dataValidation sqref="E8:E47" showDropDown="0" showInputMessage="0" showErrorMessage="1" allowBlank="1" errorTitle="Fecha" error="Escribe una fecha válida, por ejemplo 05/12/2026." type="date" operator="greaterThan">
      <formula1>1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M4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6" customWidth="1" min="3" max="3"/>
    <col width="14" customWidth="1" min="4" max="4"/>
    <col width="16" customWidth="1" min="5" max="5"/>
    <col width="1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2" ht="34" customHeight="1">
      <c r="B2" s="1" t="inlineStr">
        <is>
          <t>Datos del viaje, votación de destinos y habitaciones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Define las fechas y quién guarda el bote, deja votar al grupo y reparte las habitaciones.</t>
        </is>
      </c>
    </row>
    <row r="5">
      <c r="B5" s="10" t="inlineStr">
        <is>
          <t>DATOS DEL VIAJE</t>
        </is>
      </c>
    </row>
    <row r="6">
      <c r="B6" s="29" t="inlineStr">
        <is>
          <t>Nombre del viaje</t>
        </is>
      </c>
      <c r="C6" s="38" t="inlineStr">
        <is>
          <t>Escapada de amigos · puente de diciembre</t>
        </is>
      </c>
      <c r="D6" s="39" t="n"/>
      <c r="E6" s="40" t="n"/>
    </row>
    <row r="7">
      <c r="B7" s="29" t="inlineStr">
        <is>
          <t>Tesorero/a del bote</t>
        </is>
      </c>
      <c r="C7" s="41" t="inlineStr">
        <is>
          <t>Marta</t>
        </is>
      </c>
      <c r="D7" s="42" t="inlineStr">
        <is>
          <t>Quien guarda el dinero común. Elige un nombre de «Participantes».</t>
        </is>
      </c>
    </row>
    <row r="8">
      <c r="B8" s="29" t="inlineStr">
        <is>
          <t>Fecha de salida</t>
        </is>
      </c>
      <c r="C8" s="32" t="n">
        <v>46360</v>
      </c>
    </row>
    <row r="9">
      <c r="B9" s="29" t="inlineStr">
        <is>
          <t>Fecha de regreso</t>
        </is>
      </c>
      <c r="C9" s="32" t="n">
        <v>46364</v>
      </c>
    </row>
    <row r="10">
      <c r="B10" s="29" t="inlineStr">
        <is>
          <t>Noches</t>
        </is>
      </c>
      <c r="C10" s="43">
        <f>IF(OR(C8="",C9=""),0,MAX(0,C9-C8))</f>
        <v/>
      </c>
      <c r="D10" s="42" t="inlineStr">
        <is>
          <t>Calculadas con las dos fechas anteriores.</t>
        </is>
      </c>
    </row>
    <row r="11">
      <c r="B11" s="29" t="inlineStr">
        <is>
          <t>Puntos por voto de 1ª opción</t>
        </is>
      </c>
      <c r="C11" s="44" t="n">
        <v>3</v>
      </c>
      <c r="D11" s="42" t="inlineStr">
        <is>
          <t>Cada persona vota un destino como 1ª opción y otro como 2ª.</t>
        </is>
      </c>
    </row>
    <row r="12">
      <c r="B12" s="29" t="inlineStr">
        <is>
          <t>Puntos por voto de 2ª opción</t>
        </is>
      </c>
      <c r="C12" s="44" t="n">
        <v>1</v>
      </c>
      <c r="D12" s="42" t="inlineStr">
        <is>
          <t>Edítalos si quieres dar más o menos peso a la segunda elección.</t>
        </is>
      </c>
    </row>
    <row r="14">
      <c r="B14" s="10" t="inlineStr">
        <is>
          <t>VOTACIÓN DE DESTINOS</t>
        </is>
      </c>
    </row>
    <row r="15" ht="44" customHeight="1">
      <c r="B15" s="11" t="inlineStr">
        <is>
          <t>Destino</t>
        </is>
      </c>
      <c r="C15" s="11" t="inlineStr">
        <is>
          <t>Votos 1ª opción</t>
        </is>
      </c>
      <c r="D15" s="11" t="inlineStr">
        <is>
          <t>Votos 2ª opción</t>
        </is>
      </c>
      <c r="E15" s="11" t="inlineStr">
        <is>
          <t>Puntos</t>
        </is>
      </c>
      <c r="F15" s="11" t="inlineStr">
        <is>
          <t>Posición</t>
        </is>
      </c>
      <c r="G15" s="11" t="inlineStr">
        <is>
          <t>Coste estimado por persona (€)</t>
        </is>
      </c>
      <c r="H15" s="11" t="inlineStr">
        <is>
          <t>Nota</t>
        </is>
      </c>
    </row>
    <row r="16">
      <c r="B16" s="21" t="inlineStr">
        <is>
          <t>Lisboa</t>
        </is>
      </c>
      <c r="C16" s="20">
        <f>IF(B16="","",COUNTIF(Participantes!$F$6:$F$35,B16))</f>
        <v/>
      </c>
      <c r="D16" s="20">
        <f>IF(B16="","",COUNTIF(Participantes!$G$6:$G$35,B16))</f>
        <v/>
      </c>
      <c r="E16" s="43">
        <f>IF(B16="","",C16*$C$11+D16*$C$12)</f>
        <v/>
      </c>
      <c r="F16" s="20">
        <f>IF(B16="","",RANK(E16,$E$16:$E$25))</f>
        <v/>
      </c>
      <c r="G16" s="23" t="n">
        <v>285</v>
      </c>
      <c r="H16" s="21" t="inlineStr">
        <is>
          <t>Vuelo directo desde Madrid</t>
        </is>
      </c>
    </row>
    <row r="17">
      <c r="B17" s="21" t="inlineStr">
        <is>
          <t>Granada</t>
        </is>
      </c>
      <c r="C17" s="20">
        <f>IF(B17="","",COUNTIF(Participantes!$F$6:$F$35,B17))</f>
        <v/>
      </c>
      <c r="D17" s="20">
        <f>IF(B17="","",COUNTIF(Participantes!$G$6:$G$35,B17))</f>
        <v/>
      </c>
      <c r="E17" s="43">
        <f>IF(B17="","",C17*$C$11+D17*$C$12)</f>
        <v/>
      </c>
      <c r="F17" s="20">
        <f>IF(B17="","",RANK(E17,$E$16:$E$25))</f>
        <v/>
      </c>
      <c r="G17" s="23" t="n">
        <v>190</v>
      </c>
      <c r="H17" s="21" t="inlineStr">
        <is>
          <t>Tren + coche</t>
        </is>
      </c>
    </row>
    <row r="18">
      <c r="B18" s="21" t="inlineStr">
        <is>
          <t>San Sebastián</t>
        </is>
      </c>
      <c r="C18" s="20">
        <f>IF(B18="","",COUNTIF(Participantes!$F$6:$F$35,B18))</f>
        <v/>
      </c>
      <c r="D18" s="20">
        <f>IF(B18="","",COUNTIF(Participantes!$G$6:$G$35,B18))</f>
        <v/>
      </c>
      <c r="E18" s="43">
        <f>IF(B18="","",C18*$C$11+D18*$C$12)</f>
        <v/>
      </c>
      <c r="F18" s="20">
        <f>IF(B18="","",RANK(E18,$E$16:$E$25))</f>
        <v/>
      </c>
      <c r="G18" s="23" t="n">
        <v>240</v>
      </c>
      <c r="H18" s="21" t="inlineStr">
        <is>
          <t>Gastronomía</t>
        </is>
      </c>
    </row>
    <row r="19">
      <c r="B19" s="21" t="inlineStr">
        <is>
          <t>Mallorca</t>
        </is>
      </c>
      <c r="C19" s="20">
        <f>IF(B19="","",COUNTIF(Participantes!$F$6:$F$35,B19))</f>
        <v/>
      </c>
      <c r="D19" s="20">
        <f>IF(B19="","",COUNTIF(Participantes!$G$6:$G$35,B19))</f>
        <v/>
      </c>
      <c r="E19" s="43">
        <f>IF(B19="","",C19*$C$11+D19*$C$12)</f>
        <v/>
      </c>
      <c r="F19" s="20">
        <f>IF(B19="","",RANK(E19,$E$16:$E$25))</f>
        <v/>
      </c>
      <c r="G19" s="23" t="n">
        <v>330</v>
      </c>
      <c r="H19" s="21" t="inlineStr">
        <is>
          <t>Cara en temporada alta</t>
        </is>
      </c>
    </row>
    <row r="20">
      <c r="B20" s="21" t="inlineStr">
        <is>
          <t>Valencia</t>
        </is>
      </c>
      <c r="C20" s="20">
        <f>IF(B20="","",COUNTIF(Participantes!$F$6:$F$35,B20))</f>
        <v/>
      </c>
      <c r="D20" s="20">
        <f>IF(B20="","",COUNTIF(Participantes!$G$6:$G$35,B20))</f>
        <v/>
      </c>
      <c r="E20" s="43">
        <f>IF(B20="","",C20*$C$11+D20*$C$12)</f>
        <v/>
      </c>
      <c r="F20" s="20">
        <f>IF(B20="","",RANK(E20,$E$16:$E$25))</f>
        <v/>
      </c>
      <c r="G20" s="23" t="n">
        <v>175</v>
      </c>
      <c r="H20" s="21" t="inlineStr">
        <is>
          <t>AVE directo</t>
        </is>
      </c>
    </row>
    <row r="21">
      <c r="B21" s="21" t="inlineStr">
        <is>
          <t>Oporto</t>
        </is>
      </c>
      <c r="C21" s="20">
        <f>IF(B21="","",COUNTIF(Participantes!$F$6:$F$35,B21))</f>
        <v/>
      </c>
      <c r="D21" s="20">
        <f>IF(B21="","",COUNTIF(Participantes!$G$6:$G$35,B21))</f>
        <v/>
      </c>
      <c r="E21" s="43">
        <f>IF(B21="","",C21*$C$11+D21*$C$12)</f>
        <v/>
      </c>
      <c r="F21" s="20">
        <f>IF(B21="","",RANK(E21,$E$16:$E$25))</f>
        <v/>
      </c>
      <c r="G21" s="23" t="n">
        <v>260</v>
      </c>
      <c r="H21" s="21" t="inlineStr"/>
    </row>
    <row r="22">
      <c r="B22" s="21" t="n"/>
      <c r="C22" s="20">
        <f>IF(B22="","",COUNTIF(Participantes!$F$6:$F$35,B22))</f>
        <v/>
      </c>
      <c r="D22" s="20">
        <f>IF(B22="","",COUNTIF(Participantes!$G$6:$G$35,B22))</f>
        <v/>
      </c>
      <c r="E22" s="43">
        <f>IF(B22="","",C22*$C$11+D22*$C$12)</f>
        <v/>
      </c>
      <c r="F22" s="20">
        <f>IF(B22="","",RANK(E22,$E$16:$E$25))</f>
        <v/>
      </c>
      <c r="G22" s="23" t="n"/>
      <c r="H22" s="21" t="n"/>
    </row>
    <row r="23">
      <c r="B23" s="21" t="n"/>
      <c r="C23" s="20">
        <f>IF(B23="","",COUNTIF(Participantes!$F$6:$F$35,B23))</f>
        <v/>
      </c>
      <c r="D23" s="20">
        <f>IF(B23="","",COUNTIF(Participantes!$G$6:$G$35,B23))</f>
        <v/>
      </c>
      <c r="E23" s="43">
        <f>IF(B23="","",C23*$C$11+D23*$C$12)</f>
        <v/>
      </c>
      <c r="F23" s="20">
        <f>IF(B23="","",RANK(E23,$E$16:$E$25))</f>
        <v/>
      </c>
      <c r="G23" s="23" t="n"/>
      <c r="H23" s="21" t="n"/>
    </row>
    <row r="24">
      <c r="B24" s="21" t="n"/>
      <c r="C24" s="20">
        <f>IF(B24="","",COUNTIF(Participantes!$F$6:$F$35,B24))</f>
        <v/>
      </c>
      <c r="D24" s="20">
        <f>IF(B24="","",COUNTIF(Participantes!$G$6:$G$35,B24))</f>
        <v/>
      </c>
      <c r="E24" s="43">
        <f>IF(B24="","",C24*$C$11+D24*$C$12)</f>
        <v/>
      </c>
      <c r="F24" s="20">
        <f>IF(B24="","",RANK(E24,$E$16:$E$25))</f>
        <v/>
      </c>
      <c r="G24" s="23" t="n"/>
      <c r="H24" s="21" t="n"/>
    </row>
    <row r="25">
      <c r="B25" s="21" t="n"/>
      <c r="C25" s="20">
        <f>IF(B25="","",COUNTIF(Participantes!$F$6:$F$35,B25))</f>
        <v/>
      </c>
      <c r="D25" s="20">
        <f>IF(B25="","",COUNTIF(Participantes!$G$6:$G$35,B25))</f>
        <v/>
      </c>
      <c r="E25" s="43">
        <f>IF(B25="","",C25*$C$11+D25*$C$12)</f>
        <v/>
      </c>
      <c r="F25" s="20">
        <f>IF(B25="","",RANK(E25,$E$16:$E$25))</f>
        <v/>
      </c>
      <c r="G25" s="23" t="n"/>
      <c r="H25" s="21" t="n"/>
    </row>
    <row r="26">
      <c r="B26" s="29" t="inlineStr">
        <is>
          <t>Destino ganador</t>
        </is>
      </c>
      <c r="C26" s="16">
        <f>IF(MAX(E16:E25)=0,"Sin votos",INDEX(B16:B25,MATCH(MAX(E16:E25),E16:E25,0)))</f>
        <v/>
      </c>
      <c r="D26" s="31" t="n"/>
    </row>
    <row r="27">
      <c r="B27" s="29" t="inlineStr">
        <is>
          <t>Participantes que han votado</t>
        </is>
      </c>
      <c r="C27" s="43">
        <f>SUMPRODUCT(--(Participantes!F6:F35&lt;&gt;""))</f>
        <v/>
      </c>
      <c r="D27" s="45" t="inlineStr">
        <is>
          <t>de</t>
        </is>
      </c>
      <c r="E27" s="20">
        <f>COUNTA(Participantes!C6:C35)</f>
        <v/>
      </c>
    </row>
    <row r="29">
      <c r="B29" s="10" t="inlineStr">
        <is>
          <t>REPARTO DE HABITACIONES (cada persona elige su habitación en «Participantes»)</t>
        </is>
      </c>
    </row>
    <row r="30" ht="44" customHeight="1">
      <c r="B30" s="11" t="inlineStr">
        <is>
          <t>Habitación</t>
        </is>
      </c>
      <c r="C30" s="11" t="inlineStr">
        <is>
          <t>Tipo</t>
        </is>
      </c>
      <c r="D30" s="11" t="inlineStr">
        <is>
          <t>Capacidad (personas)</t>
        </is>
      </c>
      <c r="E30" s="11" t="inlineStr">
        <is>
          <t>Precio por noche (€)</t>
        </is>
      </c>
      <c r="F30" s="11" t="inlineStr">
        <is>
          <t>Ocupantes</t>
        </is>
      </c>
      <c r="G30" s="11" t="inlineStr">
        <is>
          <t>Plazas libres</t>
        </is>
      </c>
      <c r="H30" s="11" t="inlineStr">
        <is>
          <t>Estado</t>
        </is>
      </c>
      <c r="I30" s="11" t="inlineStr">
        <is>
          <t>Coste de la estancia (€)</t>
        </is>
      </c>
      <c r="J30" s="11" t="inlineStr">
        <is>
          <t>Ocupante 1</t>
        </is>
      </c>
      <c r="K30" s="11" t="inlineStr">
        <is>
          <t>Ocupante 2</t>
        </is>
      </c>
      <c r="L30" s="11" t="inlineStr">
        <is>
          <t>Ocupante 3</t>
        </is>
      </c>
      <c r="M30" s="11" t="inlineStr">
        <is>
          <t>Ocupante 4</t>
        </is>
      </c>
    </row>
    <row r="31">
      <c r="B31" s="21" t="inlineStr">
        <is>
          <t>Hab. 1</t>
        </is>
      </c>
      <c r="C31" s="24" t="inlineStr">
        <is>
          <t>Doble</t>
        </is>
      </c>
      <c r="D31" s="44" t="n">
        <v>2</v>
      </c>
      <c r="E31" s="23" t="n">
        <v>95</v>
      </c>
      <c r="F31" s="33">
        <f>IF(B31="","",SUMIF(Participantes!$H$6:$H$35,B31,Participantes!$D$6:$D$35))</f>
        <v/>
      </c>
      <c r="G31" s="33">
        <f>IF(B31="","",D31-F31)</f>
        <v/>
      </c>
      <c r="H31" s="25">
        <f>IF(B31="","",IF(F31&gt;D31,"Sobreocupada",IF(F31=D31,"Completa",IF(F31=0,"Vacía","Plazas libres"))))</f>
        <v/>
      </c>
      <c r="I31" s="14">
        <f>IF(OR(B31="",E31=""),"",E31*$C$10)</f>
        <v/>
      </c>
      <c r="J31" s="25">
        <f>IF($B31="","",IFERROR(INDEX(Participantes!$C$6:$C$35,MATCH($B31&amp;"|"&amp;1,Participantes!$Q$6:$Q$35,0)),""))</f>
        <v/>
      </c>
      <c r="K31" s="25">
        <f>IF($B31="","",IFERROR(INDEX(Participantes!$C$6:$C$35,MATCH($B31&amp;"|"&amp;2,Participantes!$Q$6:$Q$35,0)),""))</f>
        <v/>
      </c>
      <c r="L31" s="25">
        <f>IF($B31="","",IFERROR(INDEX(Participantes!$C$6:$C$35,MATCH($B31&amp;"|"&amp;3,Participantes!$Q$6:$Q$35,0)),""))</f>
        <v/>
      </c>
      <c r="M31" s="25">
        <f>IF($B31="","",IFERROR(INDEX(Participantes!$C$6:$C$35,MATCH($B31&amp;"|"&amp;4,Participantes!$Q$6:$Q$35,0)),""))</f>
        <v/>
      </c>
    </row>
    <row r="32">
      <c r="B32" s="21" t="inlineStr">
        <is>
          <t>Hab. 2</t>
        </is>
      </c>
      <c r="C32" s="24" t="inlineStr">
        <is>
          <t>Doble</t>
        </is>
      </c>
      <c r="D32" s="44" t="n">
        <v>2</v>
      </c>
      <c r="E32" s="23" t="n">
        <v>95</v>
      </c>
      <c r="F32" s="33">
        <f>IF(B32="","",SUMIF(Participantes!$H$6:$H$35,B32,Participantes!$D$6:$D$35))</f>
        <v/>
      </c>
      <c r="G32" s="33">
        <f>IF(B32="","",D32-F32)</f>
        <v/>
      </c>
      <c r="H32" s="25">
        <f>IF(B32="","",IF(F32&gt;D32,"Sobreocupada",IF(F32=D32,"Completa",IF(F32=0,"Vacía","Plazas libres"))))</f>
        <v/>
      </c>
      <c r="I32" s="14">
        <f>IF(OR(B32="",E32=""),"",E32*$C$10)</f>
        <v/>
      </c>
      <c r="J32" s="25">
        <f>IF($B32="","",IFERROR(INDEX(Participantes!$C$6:$C$35,MATCH($B32&amp;"|"&amp;1,Participantes!$Q$6:$Q$35,0)),""))</f>
        <v/>
      </c>
      <c r="K32" s="25">
        <f>IF($B32="","",IFERROR(INDEX(Participantes!$C$6:$C$35,MATCH($B32&amp;"|"&amp;2,Participantes!$Q$6:$Q$35,0)),""))</f>
        <v/>
      </c>
      <c r="L32" s="25">
        <f>IF($B32="","",IFERROR(INDEX(Participantes!$C$6:$C$35,MATCH($B32&amp;"|"&amp;3,Participantes!$Q$6:$Q$35,0)),""))</f>
        <v/>
      </c>
      <c r="M32" s="25">
        <f>IF($B32="","",IFERROR(INDEX(Participantes!$C$6:$C$35,MATCH($B32&amp;"|"&amp;4,Participantes!$Q$6:$Q$35,0)),""))</f>
        <v/>
      </c>
    </row>
    <row r="33">
      <c r="B33" s="21" t="inlineStr">
        <is>
          <t>Hab. 3</t>
        </is>
      </c>
      <c r="C33" s="24" t="inlineStr">
        <is>
          <t>Doble + cama extra</t>
        </is>
      </c>
      <c r="D33" s="44" t="n">
        <v>3</v>
      </c>
      <c r="E33" s="23" t="n">
        <v>105</v>
      </c>
      <c r="F33" s="33">
        <f>IF(B33="","",SUMIF(Participantes!$H$6:$H$35,B33,Participantes!$D$6:$D$35))</f>
        <v/>
      </c>
      <c r="G33" s="33">
        <f>IF(B33="","",D33-F33)</f>
        <v/>
      </c>
      <c r="H33" s="25">
        <f>IF(B33="","",IF(F33&gt;D33,"Sobreocupada",IF(F33=D33,"Completa",IF(F33=0,"Vacía","Plazas libres"))))</f>
        <v/>
      </c>
      <c r="I33" s="14">
        <f>IF(OR(B33="",E33=""),"",E33*$C$10)</f>
        <v/>
      </c>
      <c r="J33" s="25">
        <f>IF($B33="","",IFERROR(INDEX(Participantes!$C$6:$C$35,MATCH($B33&amp;"|"&amp;1,Participantes!$Q$6:$Q$35,0)),""))</f>
        <v/>
      </c>
      <c r="K33" s="25">
        <f>IF($B33="","",IFERROR(INDEX(Participantes!$C$6:$C$35,MATCH($B33&amp;"|"&amp;2,Participantes!$Q$6:$Q$35,0)),""))</f>
        <v/>
      </c>
      <c r="L33" s="25">
        <f>IF($B33="","",IFERROR(INDEX(Participantes!$C$6:$C$35,MATCH($B33&amp;"|"&amp;3,Participantes!$Q$6:$Q$35,0)),""))</f>
        <v/>
      </c>
      <c r="M33" s="25">
        <f>IF($B33="","",IFERROR(INDEX(Participantes!$C$6:$C$35,MATCH($B33&amp;"|"&amp;4,Participantes!$Q$6:$Q$35,0)),""))</f>
        <v/>
      </c>
    </row>
    <row r="34">
      <c r="B34" s="21" t="inlineStr">
        <is>
          <t>Hab. 4</t>
        </is>
      </c>
      <c r="C34" s="24" t="inlineStr">
        <is>
          <t>Triple</t>
        </is>
      </c>
      <c r="D34" s="44" t="n">
        <v>3</v>
      </c>
      <c r="E34" s="23" t="n">
        <v>120</v>
      </c>
      <c r="F34" s="33">
        <f>IF(B34="","",SUMIF(Participantes!$H$6:$H$35,B34,Participantes!$D$6:$D$35))</f>
        <v/>
      </c>
      <c r="G34" s="33">
        <f>IF(B34="","",D34-F34)</f>
        <v/>
      </c>
      <c r="H34" s="25">
        <f>IF(B34="","",IF(F34&gt;D34,"Sobreocupada",IF(F34=D34,"Completa",IF(F34=0,"Vacía","Plazas libres"))))</f>
        <v/>
      </c>
      <c r="I34" s="14">
        <f>IF(OR(B34="",E34=""),"",E34*$C$10)</f>
        <v/>
      </c>
      <c r="J34" s="25">
        <f>IF($B34="","",IFERROR(INDEX(Participantes!$C$6:$C$35,MATCH($B34&amp;"|"&amp;1,Participantes!$Q$6:$Q$35,0)),""))</f>
        <v/>
      </c>
      <c r="K34" s="25">
        <f>IF($B34="","",IFERROR(INDEX(Participantes!$C$6:$C$35,MATCH($B34&amp;"|"&amp;2,Participantes!$Q$6:$Q$35,0)),""))</f>
        <v/>
      </c>
      <c r="L34" s="25">
        <f>IF($B34="","",IFERROR(INDEX(Participantes!$C$6:$C$35,MATCH($B34&amp;"|"&amp;3,Participantes!$Q$6:$Q$35,0)),""))</f>
        <v/>
      </c>
      <c r="M34" s="25">
        <f>IF($B34="","",IFERROR(INDEX(Participantes!$C$6:$C$35,MATCH($B34&amp;"|"&amp;4,Participantes!$Q$6:$Q$35,0)),""))</f>
        <v/>
      </c>
    </row>
    <row r="35">
      <c r="B35" s="21" t="inlineStr">
        <is>
          <t>Hab. 5</t>
        </is>
      </c>
      <c r="C35" s="24" t="inlineStr">
        <is>
          <t>Individual</t>
        </is>
      </c>
      <c r="D35" s="44" t="n">
        <v>1</v>
      </c>
      <c r="E35" s="23" t="n">
        <v>70</v>
      </c>
      <c r="F35" s="33">
        <f>IF(B35="","",SUMIF(Participantes!$H$6:$H$35,B35,Participantes!$D$6:$D$35))</f>
        <v/>
      </c>
      <c r="G35" s="33">
        <f>IF(B35="","",D35-F35)</f>
        <v/>
      </c>
      <c r="H35" s="25">
        <f>IF(B35="","",IF(F35&gt;D35,"Sobreocupada",IF(F35=D35,"Completa",IF(F35=0,"Vacía","Plazas libres"))))</f>
        <v/>
      </c>
      <c r="I35" s="14">
        <f>IF(OR(B35="",E35=""),"",E35*$C$10)</f>
        <v/>
      </c>
      <c r="J35" s="25">
        <f>IF($B35="","",IFERROR(INDEX(Participantes!$C$6:$C$35,MATCH($B35&amp;"|"&amp;1,Participantes!$Q$6:$Q$35,0)),""))</f>
        <v/>
      </c>
      <c r="K35" s="25">
        <f>IF($B35="","",IFERROR(INDEX(Participantes!$C$6:$C$35,MATCH($B35&amp;"|"&amp;2,Participantes!$Q$6:$Q$35,0)),""))</f>
        <v/>
      </c>
      <c r="L35" s="25">
        <f>IF($B35="","",IFERROR(INDEX(Participantes!$C$6:$C$35,MATCH($B35&amp;"|"&amp;3,Participantes!$Q$6:$Q$35,0)),""))</f>
        <v/>
      </c>
      <c r="M35" s="25">
        <f>IF($B35="","",IFERROR(INDEX(Participantes!$C$6:$C$35,MATCH($B35&amp;"|"&amp;4,Participantes!$Q$6:$Q$35,0)),""))</f>
        <v/>
      </c>
    </row>
    <row r="36">
      <c r="B36" s="21" t="inlineStr">
        <is>
          <t>Hab. 6</t>
        </is>
      </c>
      <c r="C36" s="24" t="inlineStr">
        <is>
          <t>Triple</t>
        </is>
      </c>
      <c r="D36" s="44" t="n">
        <v>3</v>
      </c>
      <c r="E36" s="23" t="n">
        <v>120</v>
      </c>
      <c r="F36" s="33">
        <f>IF(B36="","",SUMIF(Participantes!$H$6:$H$35,B36,Participantes!$D$6:$D$35))</f>
        <v/>
      </c>
      <c r="G36" s="33">
        <f>IF(B36="","",D36-F36)</f>
        <v/>
      </c>
      <c r="H36" s="25">
        <f>IF(B36="","",IF(F36&gt;D36,"Sobreocupada",IF(F36=D36,"Completa",IF(F36=0,"Vacía","Plazas libres"))))</f>
        <v/>
      </c>
      <c r="I36" s="14">
        <f>IF(OR(B36="",E36=""),"",E36*$C$10)</f>
        <v/>
      </c>
      <c r="J36" s="25">
        <f>IF($B36="","",IFERROR(INDEX(Participantes!$C$6:$C$35,MATCH($B36&amp;"|"&amp;1,Participantes!$Q$6:$Q$35,0)),""))</f>
        <v/>
      </c>
      <c r="K36" s="25">
        <f>IF($B36="","",IFERROR(INDEX(Participantes!$C$6:$C$35,MATCH($B36&amp;"|"&amp;2,Participantes!$Q$6:$Q$35,0)),""))</f>
        <v/>
      </c>
      <c r="L36" s="25">
        <f>IF($B36="","",IFERROR(INDEX(Participantes!$C$6:$C$35,MATCH($B36&amp;"|"&amp;3,Participantes!$Q$6:$Q$35,0)),""))</f>
        <v/>
      </c>
      <c r="M36" s="25">
        <f>IF($B36="","",IFERROR(INDEX(Participantes!$C$6:$C$35,MATCH($B36&amp;"|"&amp;4,Participantes!$Q$6:$Q$35,0)),""))</f>
        <v/>
      </c>
    </row>
    <row r="37">
      <c r="B37" s="21" t="n"/>
      <c r="C37" s="24" t="n"/>
      <c r="D37" s="44" t="n"/>
      <c r="E37" s="23" t="n"/>
      <c r="F37" s="33">
        <f>IF(B37="","",SUMIF(Participantes!$H$6:$H$35,B37,Participantes!$D$6:$D$35))</f>
        <v/>
      </c>
      <c r="G37" s="33">
        <f>IF(B37="","",D37-F37)</f>
        <v/>
      </c>
      <c r="H37" s="25">
        <f>IF(B37="","",IF(F37&gt;D37,"Sobreocupada",IF(F37=D37,"Completa",IF(F37=0,"Vacía","Plazas libres"))))</f>
        <v/>
      </c>
      <c r="I37" s="14">
        <f>IF(OR(B37="",E37=""),"",E37*$C$10)</f>
        <v/>
      </c>
      <c r="J37" s="25">
        <f>IF($B37="","",IFERROR(INDEX(Participantes!$C$6:$C$35,MATCH($B37&amp;"|"&amp;1,Participantes!$Q$6:$Q$35,0)),""))</f>
        <v/>
      </c>
      <c r="K37" s="25">
        <f>IF($B37="","",IFERROR(INDEX(Participantes!$C$6:$C$35,MATCH($B37&amp;"|"&amp;2,Participantes!$Q$6:$Q$35,0)),""))</f>
        <v/>
      </c>
      <c r="L37" s="25">
        <f>IF($B37="","",IFERROR(INDEX(Participantes!$C$6:$C$35,MATCH($B37&amp;"|"&amp;3,Participantes!$Q$6:$Q$35,0)),""))</f>
        <v/>
      </c>
      <c r="M37" s="25">
        <f>IF($B37="","",IFERROR(INDEX(Participantes!$C$6:$C$35,MATCH($B37&amp;"|"&amp;4,Participantes!$Q$6:$Q$35,0)),""))</f>
        <v/>
      </c>
    </row>
    <row r="38">
      <c r="B38" s="21" t="n"/>
      <c r="C38" s="24" t="n"/>
      <c r="D38" s="44" t="n"/>
      <c r="E38" s="23" t="n"/>
      <c r="F38" s="33">
        <f>IF(B38="","",SUMIF(Participantes!$H$6:$H$35,B38,Participantes!$D$6:$D$35))</f>
        <v/>
      </c>
      <c r="G38" s="33">
        <f>IF(B38="","",D38-F38)</f>
        <v/>
      </c>
      <c r="H38" s="25">
        <f>IF(B38="","",IF(F38&gt;D38,"Sobreocupada",IF(F38=D38,"Completa",IF(F38=0,"Vacía","Plazas libres"))))</f>
        <v/>
      </c>
      <c r="I38" s="14">
        <f>IF(OR(B38="",E38=""),"",E38*$C$10)</f>
        <v/>
      </c>
      <c r="J38" s="25">
        <f>IF($B38="","",IFERROR(INDEX(Participantes!$C$6:$C$35,MATCH($B38&amp;"|"&amp;1,Participantes!$Q$6:$Q$35,0)),""))</f>
        <v/>
      </c>
      <c r="K38" s="25">
        <f>IF($B38="","",IFERROR(INDEX(Participantes!$C$6:$C$35,MATCH($B38&amp;"|"&amp;2,Participantes!$Q$6:$Q$35,0)),""))</f>
        <v/>
      </c>
      <c r="L38" s="25">
        <f>IF($B38="","",IFERROR(INDEX(Participantes!$C$6:$C$35,MATCH($B38&amp;"|"&amp;3,Participantes!$Q$6:$Q$35,0)),""))</f>
        <v/>
      </c>
      <c r="M38" s="25">
        <f>IF($B38="","",IFERROR(INDEX(Participantes!$C$6:$C$35,MATCH($B38&amp;"|"&amp;4,Participantes!$Q$6:$Q$35,0)),""))</f>
        <v/>
      </c>
    </row>
    <row r="39">
      <c r="B39" s="21" t="n"/>
      <c r="C39" s="24" t="n"/>
      <c r="D39" s="44" t="n"/>
      <c r="E39" s="23" t="n"/>
      <c r="F39" s="33">
        <f>IF(B39="","",SUMIF(Participantes!$H$6:$H$35,B39,Participantes!$D$6:$D$35))</f>
        <v/>
      </c>
      <c r="G39" s="33">
        <f>IF(B39="","",D39-F39)</f>
        <v/>
      </c>
      <c r="H39" s="25">
        <f>IF(B39="","",IF(F39&gt;D39,"Sobreocupada",IF(F39=D39,"Completa",IF(F39=0,"Vacía","Plazas libres"))))</f>
        <v/>
      </c>
      <c r="I39" s="14">
        <f>IF(OR(B39="",E39=""),"",E39*$C$10)</f>
        <v/>
      </c>
      <c r="J39" s="25">
        <f>IF($B39="","",IFERROR(INDEX(Participantes!$C$6:$C$35,MATCH($B39&amp;"|"&amp;1,Participantes!$Q$6:$Q$35,0)),""))</f>
        <v/>
      </c>
      <c r="K39" s="25">
        <f>IF($B39="","",IFERROR(INDEX(Participantes!$C$6:$C$35,MATCH($B39&amp;"|"&amp;2,Participantes!$Q$6:$Q$35,0)),""))</f>
        <v/>
      </c>
      <c r="L39" s="25">
        <f>IF($B39="","",IFERROR(INDEX(Participantes!$C$6:$C$35,MATCH($B39&amp;"|"&amp;3,Participantes!$Q$6:$Q$35,0)),""))</f>
        <v/>
      </c>
      <c r="M39" s="25">
        <f>IF($B39="","",IFERROR(INDEX(Participantes!$C$6:$C$35,MATCH($B39&amp;"|"&amp;4,Participantes!$Q$6:$Q$35,0)),""))</f>
        <v/>
      </c>
    </row>
    <row r="40">
      <c r="B40" s="21" t="n"/>
      <c r="C40" s="24" t="n"/>
      <c r="D40" s="44" t="n"/>
      <c r="E40" s="23" t="n"/>
      <c r="F40" s="33">
        <f>IF(B40="","",SUMIF(Participantes!$H$6:$H$35,B40,Participantes!$D$6:$D$35))</f>
        <v/>
      </c>
      <c r="G40" s="33">
        <f>IF(B40="","",D40-F40)</f>
        <v/>
      </c>
      <c r="H40" s="25">
        <f>IF(B40="","",IF(F40&gt;D40,"Sobreocupada",IF(F40=D40,"Completa",IF(F40=0,"Vacía","Plazas libres"))))</f>
        <v/>
      </c>
      <c r="I40" s="14">
        <f>IF(OR(B40="",E40=""),"",E40*$C$10)</f>
        <v/>
      </c>
      <c r="J40" s="25">
        <f>IF($B40="","",IFERROR(INDEX(Participantes!$C$6:$C$35,MATCH($B40&amp;"|"&amp;1,Participantes!$Q$6:$Q$35,0)),""))</f>
        <v/>
      </c>
      <c r="K40" s="25">
        <f>IF($B40="","",IFERROR(INDEX(Participantes!$C$6:$C$35,MATCH($B40&amp;"|"&amp;2,Participantes!$Q$6:$Q$35,0)),""))</f>
        <v/>
      </c>
      <c r="L40" s="25">
        <f>IF($B40="","",IFERROR(INDEX(Participantes!$C$6:$C$35,MATCH($B40&amp;"|"&amp;3,Participantes!$Q$6:$Q$35,0)),""))</f>
        <v/>
      </c>
      <c r="M40" s="25">
        <f>IF($B40="","",IFERROR(INDEX(Participantes!$C$6:$C$35,MATCH($B40&amp;"|"&amp;4,Participantes!$Q$6:$Q$35,0)),""))</f>
        <v/>
      </c>
    </row>
    <row r="41">
      <c r="B41" s="16" t="inlineStr">
        <is>
          <t>Totales</t>
        </is>
      </c>
      <c r="C41" s="16" t="inlineStr"/>
      <c r="D41" s="46">
        <f>SUM(D31:D40)</f>
        <v/>
      </c>
      <c r="E41" s="16" t="inlineStr"/>
      <c r="F41" s="28">
        <f>SUM(F31:F40)</f>
        <v/>
      </c>
      <c r="G41" s="28">
        <f>SUM(G31:G40)</f>
        <v/>
      </c>
      <c r="H41" s="16" t="inlineStr"/>
      <c r="I41" s="17">
        <f>SUM(I31:I40)</f>
        <v/>
      </c>
      <c r="J41" s="16" t="inlineStr"/>
      <c r="K41" s="16" t="inlineStr"/>
      <c r="L41" s="16" t="inlineStr"/>
      <c r="M41" s="16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4">
    <mergeCell ref="B3:M3"/>
    <mergeCell ref="B2:M2"/>
    <mergeCell ref="C6:E6"/>
    <mergeCell ref="C26:D26"/>
  </mergeCells>
  <conditionalFormatting sqref="E16:E25">
    <cfRule type="dataBar" priority="1">
      <dataBar>
        <cfvo type="num" val="0"/>
        <cfvo type="max"/>
        <color rgb="0010B981"/>
      </dataBar>
    </cfRule>
  </conditionalFormatting>
  <conditionalFormatting sqref="B16:F25">
    <cfRule type="expression" priority="2" dxfId="2">
      <formula>AND($F16=1,$E16&gt;0)</formula>
    </cfRule>
  </conditionalFormatting>
  <conditionalFormatting sqref="H31:H40">
    <cfRule type="cellIs" priority="3" operator="equal" dxfId="2">
      <formula>"Completa"</formula>
    </cfRule>
    <cfRule type="cellIs" priority="4" operator="equal" dxfId="0">
      <formula>"Sobreocupada"</formula>
    </cfRule>
    <cfRule type="cellIs" priority="5" operator="equal" dxfId="1">
      <formula>"Vacía"</formula>
    </cfRule>
  </conditionalFormatting>
  <dataValidations count="4">
    <dataValidation sqref="C7" showDropDown="0" showInputMessage="0" showErrorMessage="0" allowBlank="1" type="list">
      <formula1>=Participantes!$C$6:$C$35</formula1>
    </dataValidation>
    <dataValidation sqref="C11:C12" showDropDown="0" showInputMessage="0" showErrorMessage="1" allowBlank="1" errorTitle="Puntos" error="Escribe un número entero igual o mayor que 0." type="whole" operator="greaterThanOrEqual">
      <formula1>0</formula1>
    </dataValidation>
    <dataValidation sqref="C31:C40" showDropDown="0" showInputMessage="0" showErrorMessage="0" allowBlank="1" type="list">
      <formula1>=Listas!$C$2:$C$7</formula1>
    </dataValidation>
    <dataValidation sqref="D31:E40 G16:G25" showDropDown="0" showInputMessage="0" showErrorMessage="1" allowBlank="1" errorTitle="Número" error="Escribe un número igual o mayor que 0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Organizador de viaje en grupo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0" t="inlineStr">
        <is>
          <t>CÓMO USARLA</t>
        </is>
      </c>
    </row>
    <row r="6" ht="30" customHeight="1">
      <c r="B6" s="47" t="inlineStr">
        <is>
          <t>1.  Empieza por la hoja «Viaje»: escribe el nombre del viaje, las fechas de salida y regreso (C8 y C9) y elige quién será el tesorero o tesorera del bote (C7).</t>
        </is>
      </c>
    </row>
    <row r="7" ht="30" customHeight="1">
      <c r="B7" s="47" t="inlineStr">
        <is>
          <t>2.  En «Participantes» escribe una fila por persona. Si una fila representa a una pareja o familia, pon 2, 3… en «Personas que representa» (0,5 para un niño que paga media parte).</t>
        </is>
      </c>
    </row>
    <row r="8" ht="30" customHeight="1">
      <c r="B8" s="47" t="inlineStr">
        <is>
          <t>3.  Anota en «Aportación al bote» lo que cada uno entrega de antemano al tesorero. Si no usáis bote, déjalo vacío: todo se calcula igual a partir de los gastos.</t>
        </is>
      </c>
    </row>
    <row r="9" ht="30" customHeight="1">
      <c r="B9" s="47" t="inlineStr">
        <is>
          <t>4.  En la hoja «Viaje» lista los destinos candidatos (B16:B25) con su coste estimado. Cada participante elige en su fila una 1ª y una 2ª opción; los puntos y el destino ganador salen solos.</t>
        </is>
      </c>
    </row>
    <row r="10" ht="30" customHeight="1">
      <c r="B10" s="47" t="inlineStr">
        <is>
          <t>5.  En «Viaje» define las habitaciones (nombre, tipo, capacidad y precio por noche) y asigna a cada persona la suya en la columna «Habitación» de «Participantes». El estado avisa si hay plazas libres o sobreocupación.</t>
        </is>
      </c>
    </row>
    <row r="11" ht="30" customHeight="1">
      <c r="B11" s="47" t="inlineStr">
        <is>
          <t>6.  Durante el viaje, apunta cada gasto en «Gastos»: concepto, importe, categoría, fecha y «Pagado por» (una persona o «Bote común»). Si alguien no participó, elígelo en «Excluye a».</t>
        </is>
      </c>
    </row>
    <row r="12" ht="30" customHeight="1">
      <c r="B12" s="47" t="inlineStr">
        <is>
          <t>7.  Mira el «Saldo neto» en «Participantes»: negativo = debe pagar, positivo = le deben. El «Panel» lista las transferencias necesarias para dejar las cuentas a cero.</t>
        </is>
      </c>
    </row>
    <row r="13" ht="30" customHeight="1">
      <c r="B13" s="47" t="inlineStr">
        <is>
          <t>8.  Al terminar, comprueba que el Panel indica «Cuentas cuadradas», que no hay gastos sin pagador válido y comparte la lista «Quién paga a quién» con el grupo.</t>
        </is>
      </c>
    </row>
    <row r="15">
      <c r="B15" s="10" t="inlineStr">
        <is>
          <t>CONSEJOS</t>
        </is>
      </c>
    </row>
    <row r="16" ht="30" customHeight="1">
      <c r="B16" s="47" t="inlineStr">
        <is>
          <t>•  Los nombres, importes y fechas de ejemplo son ficticios; bórralos y escribe los tuyos. Las filas vacías ya traen sus fórmulas hasta 30 participantes y 40 gastos.</t>
        </is>
      </c>
    </row>
    <row r="17" ht="30" customHeight="1">
      <c r="B17" s="47" t="inlineStr">
        <is>
          <t>•  El tesorero o tesorera tiene en su saldo el efecto del dinero que guarda: si el bote sobra, el Panel indica cuánto debe devolver a cada uno.</t>
        </is>
      </c>
    </row>
    <row r="18" ht="30" customHeight="1">
      <c r="B18" s="47" t="inlineStr">
        <is>
          <t>•  Las transferencias se calculan emparejando deudores y acreedores en orden; el número es pequeño en la mayoría de casos, aunque no es el único reparto válido.</t>
        </is>
      </c>
    </row>
    <row r="19" ht="30" customHeight="1">
      <c r="B19" s="47" t="inlineStr">
        <is>
          <t>•  Las categorías y los tipos de habitación se editan en la hoja oculta «Listas» (clic derecho sobre una pestaña &gt; Mostrar). La columna Q de «Participantes» es una ayuda: no la borres.</t>
        </is>
      </c>
    </row>
    <row r="20" ht="30" customHeight="1">
      <c r="B20" s="47" t="inlineStr">
        <is>
          <t>•  Las hojas están protegidas sin contraseña para no romper fórmulas: Revisar &gt; Desproteger hoja si necesitas modificar algo.</t>
        </is>
      </c>
    </row>
    <row r="22">
      <c r="B22" s="42" t="inlineStr">
        <is>
          <t>Las celdas con fondo crema y texto azul son para rellenar; las verdes se calculan solas.</t>
        </is>
      </c>
    </row>
    <row r="24" ht="44" customHeight="1">
      <c r="B24" s="48" t="inlineStr">
        <is>
          <t>Aviso: esta plantilla solo sirve para llevar la cuenta de los gastos compartidos entre amigos o familia. No gestiona pagos ni custodia dinero, y no sustituye ningún asesoramiento financiero. Los importes son los que tú introduces.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M61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Categoría</t>
        </is>
      </c>
      <c r="B1" t="inlineStr">
        <is>
          <t>Pagador</t>
        </is>
      </c>
      <c r="C1" t="inlineStr">
        <is>
          <t>Tipo</t>
        </is>
      </c>
      <c r="H1" t="inlineStr">
        <is>
          <t>Acum.</t>
        </is>
      </c>
      <c r="I1" t="inlineStr">
        <is>
          <t>Punto</t>
        </is>
      </c>
      <c r="J1" t="inlineStr">
        <is>
          <t>Tramo</t>
        </is>
      </c>
      <c r="K1" t="inlineStr">
        <is>
          <t>Medio</t>
        </is>
      </c>
      <c r="L1" t="inlineStr">
        <is>
          <t>Válido</t>
        </is>
      </c>
      <c r="M1" t="inlineStr">
        <is>
          <t>Nº</t>
        </is>
      </c>
    </row>
    <row r="2">
      <c r="A2" t="inlineStr">
        <is>
          <t>Alojamiento</t>
        </is>
      </c>
      <c r="B2" t="inlineStr">
        <is>
          <t>Bote común</t>
        </is>
      </c>
      <c r="C2" t="inlineStr">
        <is>
          <t>Individual</t>
        </is>
      </c>
      <c r="H2">
        <f>ROUND(0+Participantes!N6,2)</f>
        <v/>
      </c>
      <c r="I2">
        <f>SMALL($H$2:$H$61,1)</f>
        <v/>
      </c>
      <c r="J2">
        <f>ROUND(I2-0,2)</f>
        <v/>
      </c>
      <c r="K2">
        <f>I2-J2/2</f>
        <v/>
      </c>
      <c r="L2">
        <f>IF(AND(J2&gt;0,K2&lt;MIN($H$31,$H$61)),1,0)</f>
        <v/>
      </c>
      <c r="M2">
        <f>L2</f>
        <v/>
      </c>
    </row>
    <row r="3">
      <c r="A3" t="inlineStr">
        <is>
          <t>Transporte</t>
        </is>
      </c>
      <c r="B3">
        <f>IF(Participantes!C6="","",Participantes!C6)</f>
        <v/>
      </c>
      <c r="C3" t="inlineStr">
        <is>
          <t>Doble</t>
        </is>
      </c>
      <c r="H3">
        <f>ROUND(H2+Participantes!N7,2)</f>
        <v/>
      </c>
      <c r="I3">
        <f>SMALL($H$2:$H$61,2)</f>
        <v/>
      </c>
      <c r="J3">
        <f>ROUND(I3-I2,2)</f>
        <v/>
      </c>
      <c r="K3">
        <f>I3-J3/2</f>
        <v/>
      </c>
      <c r="L3">
        <f>IF(AND(J3&gt;0,K3&lt;MIN($H$31,$H$61)),1,0)</f>
        <v/>
      </c>
      <c r="M3">
        <f>M2+L3</f>
        <v/>
      </c>
    </row>
    <row r="4">
      <c r="A4" t="inlineStr">
        <is>
          <t>Comida y bebida</t>
        </is>
      </c>
      <c r="B4">
        <f>IF(Participantes!C7="","",Participantes!C7)</f>
        <v/>
      </c>
      <c r="C4" t="inlineStr">
        <is>
          <t>Doble + cama extra</t>
        </is>
      </c>
      <c r="H4">
        <f>ROUND(H3+Participantes!N8,2)</f>
        <v/>
      </c>
      <c r="I4">
        <f>SMALL($H$2:$H$61,3)</f>
        <v/>
      </c>
      <c r="J4">
        <f>ROUND(I4-I3,2)</f>
        <v/>
      </c>
      <c r="K4">
        <f>I4-J4/2</f>
        <v/>
      </c>
      <c r="L4">
        <f>IF(AND(J4&gt;0,K4&lt;MIN($H$31,$H$61)),1,0)</f>
        <v/>
      </c>
      <c r="M4">
        <f>M3+L4</f>
        <v/>
      </c>
    </row>
    <row r="5">
      <c r="A5" t="inlineStr">
        <is>
          <t>Ocio y entradas</t>
        </is>
      </c>
      <c r="B5">
        <f>IF(Participantes!C8="","",Participantes!C8)</f>
        <v/>
      </c>
      <c r="C5" t="inlineStr">
        <is>
          <t>Triple</t>
        </is>
      </c>
      <c r="H5">
        <f>ROUND(H4+Participantes!N9,2)</f>
        <v/>
      </c>
      <c r="I5">
        <f>SMALL($H$2:$H$61,4)</f>
        <v/>
      </c>
      <c r="J5">
        <f>ROUND(I5-I4,2)</f>
        <v/>
      </c>
      <c r="K5">
        <f>I5-J5/2</f>
        <v/>
      </c>
      <c r="L5">
        <f>IF(AND(J5&gt;0,K5&lt;MIN($H$31,$H$61)),1,0)</f>
        <v/>
      </c>
      <c r="M5">
        <f>M4+L5</f>
        <v/>
      </c>
    </row>
    <row r="6">
      <c r="A6" t="inlineStr">
        <is>
          <t>Compras comunes</t>
        </is>
      </c>
      <c r="B6">
        <f>IF(Participantes!C9="","",Participantes!C9)</f>
        <v/>
      </c>
      <c r="C6" t="inlineStr">
        <is>
          <t>Cuádruple</t>
        </is>
      </c>
      <c r="H6">
        <f>ROUND(H5+Participantes!N10,2)</f>
        <v/>
      </c>
      <c r="I6">
        <f>SMALL($H$2:$H$61,5)</f>
        <v/>
      </c>
      <c r="J6">
        <f>ROUND(I6-I5,2)</f>
        <v/>
      </c>
      <c r="K6">
        <f>I6-J6/2</f>
        <v/>
      </c>
      <c r="L6">
        <f>IF(AND(J6&gt;0,K6&lt;MIN($H$31,$H$61)),1,0)</f>
        <v/>
      </c>
      <c r="M6">
        <f>M5+L6</f>
        <v/>
      </c>
    </row>
    <row r="7">
      <c r="A7" t="inlineStr">
        <is>
          <t>Otros</t>
        </is>
      </c>
      <c r="B7">
        <f>IF(Participantes!C10="","",Participantes!C10)</f>
        <v/>
      </c>
      <c r="C7" t="inlineStr">
        <is>
          <t>Apartamento</t>
        </is>
      </c>
      <c r="H7">
        <f>ROUND(H6+Participantes!N11,2)</f>
        <v/>
      </c>
      <c r="I7">
        <f>SMALL($H$2:$H$61,6)</f>
        <v/>
      </c>
      <c r="J7">
        <f>ROUND(I7-I6,2)</f>
        <v/>
      </c>
      <c r="K7">
        <f>I7-J7/2</f>
        <v/>
      </c>
      <c r="L7">
        <f>IF(AND(J7&gt;0,K7&lt;MIN($H$31,$H$61)),1,0)</f>
        <v/>
      </c>
      <c r="M7">
        <f>M6+L7</f>
        <v/>
      </c>
    </row>
    <row r="8">
      <c r="B8">
        <f>IF(Participantes!C11="","",Participantes!C11)</f>
        <v/>
      </c>
      <c r="H8">
        <f>ROUND(H7+Participantes!N12,2)</f>
        <v/>
      </c>
      <c r="I8">
        <f>SMALL($H$2:$H$61,7)</f>
        <v/>
      </c>
      <c r="J8">
        <f>ROUND(I8-I7,2)</f>
        <v/>
      </c>
      <c r="K8">
        <f>I8-J8/2</f>
        <v/>
      </c>
      <c r="L8">
        <f>IF(AND(J8&gt;0,K8&lt;MIN($H$31,$H$61)),1,0)</f>
        <v/>
      </c>
      <c r="M8">
        <f>M7+L8</f>
        <v/>
      </c>
    </row>
    <row r="9">
      <c r="B9">
        <f>IF(Participantes!C12="","",Participantes!C12)</f>
        <v/>
      </c>
      <c r="H9">
        <f>ROUND(H8+Participantes!N13,2)</f>
        <v/>
      </c>
      <c r="I9">
        <f>SMALL($H$2:$H$61,8)</f>
        <v/>
      </c>
      <c r="J9">
        <f>ROUND(I9-I8,2)</f>
        <v/>
      </c>
      <c r="K9">
        <f>I9-J9/2</f>
        <v/>
      </c>
      <c r="L9">
        <f>IF(AND(J9&gt;0,K9&lt;MIN($H$31,$H$61)),1,0)</f>
        <v/>
      </c>
      <c r="M9">
        <f>M8+L9</f>
        <v/>
      </c>
    </row>
    <row r="10">
      <c r="B10">
        <f>IF(Participantes!C13="","",Participantes!C13)</f>
        <v/>
      </c>
      <c r="H10">
        <f>ROUND(H9+Participantes!N14,2)</f>
        <v/>
      </c>
      <c r="I10">
        <f>SMALL($H$2:$H$61,9)</f>
        <v/>
      </c>
      <c r="J10">
        <f>ROUND(I10-I9,2)</f>
        <v/>
      </c>
      <c r="K10">
        <f>I10-J10/2</f>
        <v/>
      </c>
      <c r="L10">
        <f>IF(AND(J10&gt;0,K10&lt;MIN($H$31,$H$61)),1,0)</f>
        <v/>
      </c>
      <c r="M10">
        <f>M9+L10</f>
        <v/>
      </c>
    </row>
    <row r="11">
      <c r="B11">
        <f>IF(Participantes!C14="","",Participantes!C14)</f>
        <v/>
      </c>
      <c r="H11">
        <f>ROUND(H10+Participantes!N15,2)</f>
        <v/>
      </c>
      <c r="I11">
        <f>SMALL($H$2:$H$61,10)</f>
        <v/>
      </c>
      <c r="J11">
        <f>ROUND(I11-I10,2)</f>
        <v/>
      </c>
      <c r="K11">
        <f>I11-J11/2</f>
        <v/>
      </c>
      <c r="L11">
        <f>IF(AND(J11&gt;0,K11&lt;MIN($H$31,$H$61)),1,0)</f>
        <v/>
      </c>
      <c r="M11">
        <f>M10+L11</f>
        <v/>
      </c>
    </row>
    <row r="12">
      <c r="B12">
        <f>IF(Participantes!C15="","",Participantes!C15)</f>
        <v/>
      </c>
      <c r="H12">
        <f>ROUND(H11+Participantes!N16,2)</f>
        <v/>
      </c>
      <c r="I12">
        <f>SMALL($H$2:$H$61,11)</f>
        <v/>
      </c>
      <c r="J12">
        <f>ROUND(I12-I11,2)</f>
        <v/>
      </c>
      <c r="K12">
        <f>I12-J12/2</f>
        <v/>
      </c>
      <c r="L12">
        <f>IF(AND(J12&gt;0,K12&lt;MIN($H$31,$H$61)),1,0)</f>
        <v/>
      </c>
      <c r="M12">
        <f>M11+L12</f>
        <v/>
      </c>
    </row>
    <row r="13">
      <c r="B13">
        <f>IF(Participantes!C16="","",Participantes!C16)</f>
        <v/>
      </c>
      <c r="H13">
        <f>ROUND(H12+Participantes!N17,2)</f>
        <v/>
      </c>
      <c r="I13">
        <f>SMALL($H$2:$H$61,12)</f>
        <v/>
      </c>
      <c r="J13">
        <f>ROUND(I13-I12,2)</f>
        <v/>
      </c>
      <c r="K13">
        <f>I13-J13/2</f>
        <v/>
      </c>
      <c r="L13">
        <f>IF(AND(J13&gt;0,K13&lt;MIN($H$31,$H$61)),1,0)</f>
        <v/>
      </c>
      <c r="M13">
        <f>M12+L13</f>
        <v/>
      </c>
    </row>
    <row r="14">
      <c r="B14">
        <f>IF(Participantes!C17="","",Participantes!C17)</f>
        <v/>
      </c>
      <c r="H14">
        <f>ROUND(H13+Participantes!N18,2)</f>
        <v/>
      </c>
      <c r="I14">
        <f>SMALL($H$2:$H$61,13)</f>
        <v/>
      </c>
      <c r="J14">
        <f>ROUND(I14-I13,2)</f>
        <v/>
      </c>
      <c r="K14">
        <f>I14-J14/2</f>
        <v/>
      </c>
      <c r="L14">
        <f>IF(AND(J14&gt;0,K14&lt;MIN($H$31,$H$61)),1,0)</f>
        <v/>
      </c>
      <c r="M14">
        <f>M13+L14</f>
        <v/>
      </c>
    </row>
    <row r="15">
      <c r="B15">
        <f>IF(Participantes!C18="","",Participantes!C18)</f>
        <v/>
      </c>
      <c r="H15">
        <f>ROUND(H14+Participantes!N19,2)</f>
        <v/>
      </c>
      <c r="I15">
        <f>SMALL($H$2:$H$61,14)</f>
        <v/>
      </c>
      <c r="J15">
        <f>ROUND(I15-I14,2)</f>
        <v/>
      </c>
      <c r="K15">
        <f>I15-J15/2</f>
        <v/>
      </c>
      <c r="L15">
        <f>IF(AND(J15&gt;0,K15&lt;MIN($H$31,$H$61)),1,0)</f>
        <v/>
      </c>
      <c r="M15">
        <f>M14+L15</f>
        <v/>
      </c>
    </row>
    <row r="16">
      <c r="B16">
        <f>IF(Participantes!C19="","",Participantes!C19)</f>
        <v/>
      </c>
      <c r="H16">
        <f>ROUND(H15+Participantes!N20,2)</f>
        <v/>
      </c>
      <c r="I16">
        <f>SMALL($H$2:$H$61,15)</f>
        <v/>
      </c>
      <c r="J16">
        <f>ROUND(I16-I15,2)</f>
        <v/>
      </c>
      <c r="K16">
        <f>I16-J16/2</f>
        <v/>
      </c>
      <c r="L16">
        <f>IF(AND(J16&gt;0,K16&lt;MIN($H$31,$H$61)),1,0)</f>
        <v/>
      </c>
      <c r="M16">
        <f>M15+L16</f>
        <v/>
      </c>
    </row>
    <row r="17">
      <c r="B17">
        <f>IF(Participantes!C20="","",Participantes!C20)</f>
        <v/>
      </c>
      <c r="H17">
        <f>ROUND(H16+Participantes!N21,2)</f>
        <v/>
      </c>
      <c r="I17">
        <f>SMALL($H$2:$H$61,16)</f>
        <v/>
      </c>
      <c r="J17">
        <f>ROUND(I17-I16,2)</f>
        <v/>
      </c>
      <c r="K17">
        <f>I17-J17/2</f>
        <v/>
      </c>
      <c r="L17">
        <f>IF(AND(J17&gt;0,K17&lt;MIN($H$31,$H$61)),1,0)</f>
        <v/>
      </c>
      <c r="M17">
        <f>M16+L17</f>
        <v/>
      </c>
    </row>
    <row r="18">
      <c r="B18">
        <f>IF(Participantes!C21="","",Participantes!C21)</f>
        <v/>
      </c>
      <c r="H18">
        <f>ROUND(H17+Participantes!N22,2)</f>
        <v/>
      </c>
      <c r="I18">
        <f>SMALL($H$2:$H$61,17)</f>
        <v/>
      </c>
      <c r="J18">
        <f>ROUND(I18-I17,2)</f>
        <v/>
      </c>
      <c r="K18">
        <f>I18-J18/2</f>
        <v/>
      </c>
      <c r="L18">
        <f>IF(AND(J18&gt;0,K18&lt;MIN($H$31,$H$61)),1,0)</f>
        <v/>
      </c>
      <c r="M18">
        <f>M17+L18</f>
        <v/>
      </c>
    </row>
    <row r="19">
      <c r="B19">
        <f>IF(Participantes!C22="","",Participantes!C22)</f>
        <v/>
      </c>
      <c r="H19">
        <f>ROUND(H18+Participantes!N23,2)</f>
        <v/>
      </c>
      <c r="I19">
        <f>SMALL($H$2:$H$61,18)</f>
        <v/>
      </c>
      <c r="J19">
        <f>ROUND(I19-I18,2)</f>
        <v/>
      </c>
      <c r="K19">
        <f>I19-J19/2</f>
        <v/>
      </c>
      <c r="L19">
        <f>IF(AND(J19&gt;0,K19&lt;MIN($H$31,$H$61)),1,0)</f>
        <v/>
      </c>
      <c r="M19">
        <f>M18+L19</f>
        <v/>
      </c>
    </row>
    <row r="20">
      <c r="B20">
        <f>IF(Participantes!C23="","",Participantes!C23)</f>
        <v/>
      </c>
      <c r="H20">
        <f>ROUND(H19+Participantes!N24,2)</f>
        <v/>
      </c>
      <c r="I20">
        <f>SMALL($H$2:$H$61,19)</f>
        <v/>
      </c>
      <c r="J20">
        <f>ROUND(I20-I19,2)</f>
        <v/>
      </c>
      <c r="K20">
        <f>I20-J20/2</f>
        <v/>
      </c>
      <c r="L20">
        <f>IF(AND(J20&gt;0,K20&lt;MIN($H$31,$H$61)),1,0)</f>
        <v/>
      </c>
      <c r="M20">
        <f>M19+L20</f>
        <v/>
      </c>
    </row>
    <row r="21">
      <c r="B21">
        <f>IF(Participantes!C24="","",Participantes!C24)</f>
        <v/>
      </c>
      <c r="H21">
        <f>ROUND(H20+Participantes!N25,2)</f>
        <v/>
      </c>
      <c r="I21">
        <f>SMALL($H$2:$H$61,20)</f>
        <v/>
      </c>
      <c r="J21">
        <f>ROUND(I21-I20,2)</f>
        <v/>
      </c>
      <c r="K21">
        <f>I21-J21/2</f>
        <v/>
      </c>
      <c r="L21">
        <f>IF(AND(J21&gt;0,K21&lt;MIN($H$31,$H$61)),1,0)</f>
        <v/>
      </c>
      <c r="M21">
        <f>M20+L21</f>
        <v/>
      </c>
    </row>
    <row r="22">
      <c r="B22">
        <f>IF(Participantes!C25="","",Participantes!C25)</f>
        <v/>
      </c>
      <c r="H22">
        <f>ROUND(H21+Participantes!N26,2)</f>
        <v/>
      </c>
      <c r="I22">
        <f>SMALL($H$2:$H$61,21)</f>
        <v/>
      </c>
      <c r="J22">
        <f>ROUND(I22-I21,2)</f>
        <v/>
      </c>
      <c r="K22">
        <f>I22-J22/2</f>
        <v/>
      </c>
      <c r="L22">
        <f>IF(AND(J22&gt;0,K22&lt;MIN($H$31,$H$61)),1,0)</f>
        <v/>
      </c>
      <c r="M22">
        <f>M21+L22</f>
        <v/>
      </c>
    </row>
    <row r="23">
      <c r="B23">
        <f>IF(Participantes!C26="","",Participantes!C26)</f>
        <v/>
      </c>
      <c r="H23">
        <f>ROUND(H22+Participantes!N27,2)</f>
        <v/>
      </c>
      <c r="I23">
        <f>SMALL($H$2:$H$61,22)</f>
        <v/>
      </c>
      <c r="J23">
        <f>ROUND(I23-I22,2)</f>
        <v/>
      </c>
      <c r="K23">
        <f>I23-J23/2</f>
        <v/>
      </c>
      <c r="L23">
        <f>IF(AND(J23&gt;0,K23&lt;MIN($H$31,$H$61)),1,0)</f>
        <v/>
      </c>
      <c r="M23">
        <f>M22+L23</f>
        <v/>
      </c>
    </row>
    <row r="24">
      <c r="B24">
        <f>IF(Participantes!C27="","",Participantes!C27)</f>
        <v/>
      </c>
      <c r="H24">
        <f>ROUND(H23+Participantes!N28,2)</f>
        <v/>
      </c>
      <c r="I24">
        <f>SMALL($H$2:$H$61,23)</f>
        <v/>
      </c>
      <c r="J24">
        <f>ROUND(I24-I23,2)</f>
        <v/>
      </c>
      <c r="K24">
        <f>I24-J24/2</f>
        <v/>
      </c>
      <c r="L24">
        <f>IF(AND(J24&gt;0,K24&lt;MIN($H$31,$H$61)),1,0)</f>
        <v/>
      </c>
      <c r="M24">
        <f>M23+L24</f>
        <v/>
      </c>
    </row>
    <row r="25">
      <c r="B25">
        <f>IF(Participantes!C28="","",Participantes!C28)</f>
        <v/>
      </c>
      <c r="H25">
        <f>ROUND(H24+Participantes!N29,2)</f>
        <v/>
      </c>
      <c r="I25">
        <f>SMALL($H$2:$H$61,24)</f>
        <v/>
      </c>
      <c r="J25">
        <f>ROUND(I25-I24,2)</f>
        <v/>
      </c>
      <c r="K25">
        <f>I25-J25/2</f>
        <v/>
      </c>
      <c r="L25">
        <f>IF(AND(J25&gt;0,K25&lt;MIN($H$31,$H$61)),1,0)</f>
        <v/>
      </c>
      <c r="M25">
        <f>M24+L25</f>
        <v/>
      </c>
    </row>
    <row r="26">
      <c r="B26">
        <f>IF(Participantes!C29="","",Participantes!C29)</f>
        <v/>
      </c>
      <c r="H26">
        <f>ROUND(H25+Participantes!N30,2)</f>
        <v/>
      </c>
      <c r="I26">
        <f>SMALL($H$2:$H$61,25)</f>
        <v/>
      </c>
      <c r="J26">
        <f>ROUND(I26-I25,2)</f>
        <v/>
      </c>
      <c r="K26">
        <f>I26-J26/2</f>
        <v/>
      </c>
      <c r="L26">
        <f>IF(AND(J26&gt;0,K26&lt;MIN($H$31,$H$61)),1,0)</f>
        <v/>
      </c>
      <c r="M26">
        <f>M25+L26</f>
        <v/>
      </c>
    </row>
    <row r="27">
      <c r="B27">
        <f>IF(Participantes!C30="","",Participantes!C30)</f>
        <v/>
      </c>
      <c r="H27">
        <f>ROUND(H26+Participantes!N31,2)</f>
        <v/>
      </c>
      <c r="I27">
        <f>SMALL($H$2:$H$61,26)</f>
        <v/>
      </c>
      <c r="J27">
        <f>ROUND(I27-I26,2)</f>
        <v/>
      </c>
      <c r="K27">
        <f>I27-J27/2</f>
        <v/>
      </c>
      <c r="L27">
        <f>IF(AND(J27&gt;0,K27&lt;MIN($H$31,$H$61)),1,0)</f>
        <v/>
      </c>
      <c r="M27">
        <f>M26+L27</f>
        <v/>
      </c>
    </row>
    <row r="28">
      <c r="B28">
        <f>IF(Participantes!C31="","",Participantes!C31)</f>
        <v/>
      </c>
      <c r="H28">
        <f>ROUND(H27+Participantes!N32,2)</f>
        <v/>
      </c>
      <c r="I28">
        <f>SMALL($H$2:$H$61,27)</f>
        <v/>
      </c>
      <c r="J28">
        <f>ROUND(I28-I27,2)</f>
        <v/>
      </c>
      <c r="K28">
        <f>I28-J28/2</f>
        <v/>
      </c>
      <c r="L28">
        <f>IF(AND(J28&gt;0,K28&lt;MIN($H$31,$H$61)),1,0)</f>
        <v/>
      </c>
      <c r="M28">
        <f>M27+L28</f>
        <v/>
      </c>
    </row>
    <row r="29">
      <c r="B29">
        <f>IF(Participantes!C32="","",Participantes!C32)</f>
        <v/>
      </c>
      <c r="H29">
        <f>ROUND(H28+Participantes!N33,2)</f>
        <v/>
      </c>
      <c r="I29">
        <f>SMALL($H$2:$H$61,28)</f>
        <v/>
      </c>
      <c r="J29">
        <f>ROUND(I29-I28,2)</f>
        <v/>
      </c>
      <c r="K29">
        <f>I29-J29/2</f>
        <v/>
      </c>
      <c r="L29">
        <f>IF(AND(J29&gt;0,K29&lt;MIN($H$31,$H$61)),1,0)</f>
        <v/>
      </c>
      <c r="M29">
        <f>M28+L29</f>
        <v/>
      </c>
    </row>
    <row r="30">
      <c r="B30">
        <f>IF(Participantes!C33="","",Participantes!C33)</f>
        <v/>
      </c>
      <c r="H30">
        <f>ROUND(H29+Participantes!N34,2)</f>
        <v/>
      </c>
      <c r="I30">
        <f>SMALL($H$2:$H$61,29)</f>
        <v/>
      </c>
      <c r="J30">
        <f>ROUND(I30-I29,2)</f>
        <v/>
      </c>
      <c r="K30">
        <f>I30-J30/2</f>
        <v/>
      </c>
      <c r="L30">
        <f>IF(AND(J30&gt;0,K30&lt;MIN($H$31,$H$61)),1,0)</f>
        <v/>
      </c>
      <c r="M30">
        <f>M29+L30</f>
        <v/>
      </c>
    </row>
    <row r="31">
      <c r="B31">
        <f>IF(Participantes!C34="","",Participantes!C34)</f>
        <v/>
      </c>
      <c r="H31">
        <f>ROUND(H30+Participantes!N35,2)</f>
        <v/>
      </c>
      <c r="I31">
        <f>SMALL($H$2:$H$61,30)</f>
        <v/>
      </c>
      <c r="J31">
        <f>ROUND(I31-I30,2)</f>
        <v/>
      </c>
      <c r="K31">
        <f>I31-J31/2</f>
        <v/>
      </c>
      <c r="L31">
        <f>IF(AND(J31&gt;0,K31&lt;MIN($H$31,$H$61)),1,0)</f>
        <v/>
      </c>
      <c r="M31">
        <f>M30+L31</f>
        <v/>
      </c>
    </row>
    <row r="32">
      <c r="B32">
        <f>IF(Participantes!C35="","",Participantes!C35)</f>
        <v/>
      </c>
      <c r="H32">
        <f>ROUND(0+Participantes!O6,2)</f>
        <v/>
      </c>
      <c r="I32">
        <f>SMALL($H$2:$H$61,31)</f>
        <v/>
      </c>
      <c r="J32">
        <f>ROUND(I32-I31,2)</f>
        <v/>
      </c>
      <c r="K32">
        <f>I32-J32/2</f>
        <v/>
      </c>
      <c r="L32">
        <f>IF(AND(J32&gt;0,K32&lt;MIN($H$31,$H$61)),1,0)</f>
        <v/>
      </c>
      <c r="M32">
        <f>M31+L32</f>
        <v/>
      </c>
    </row>
    <row r="33">
      <c r="H33">
        <f>ROUND(H32+Participantes!O7,2)</f>
        <v/>
      </c>
      <c r="I33">
        <f>SMALL($H$2:$H$61,32)</f>
        <v/>
      </c>
      <c r="J33">
        <f>ROUND(I33-I32,2)</f>
        <v/>
      </c>
      <c r="K33">
        <f>I33-J33/2</f>
        <v/>
      </c>
      <c r="L33">
        <f>IF(AND(J33&gt;0,K33&lt;MIN($H$31,$H$61)),1,0)</f>
        <v/>
      </c>
      <c r="M33">
        <f>M32+L33</f>
        <v/>
      </c>
    </row>
    <row r="34">
      <c r="H34">
        <f>ROUND(H33+Participantes!O8,2)</f>
        <v/>
      </c>
      <c r="I34">
        <f>SMALL($H$2:$H$61,33)</f>
        <v/>
      </c>
      <c r="J34">
        <f>ROUND(I34-I33,2)</f>
        <v/>
      </c>
      <c r="K34">
        <f>I34-J34/2</f>
        <v/>
      </c>
      <c r="L34">
        <f>IF(AND(J34&gt;0,K34&lt;MIN($H$31,$H$61)),1,0)</f>
        <v/>
      </c>
      <c r="M34">
        <f>M33+L34</f>
        <v/>
      </c>
    </row>
    <row r="35">
      <c r="H35">
        <f>ROUND(H34+Participantes!O9,2)</f>
        <v/>
      </c>
      <c r="I35">
        <f>SMALL($H$2:$H$61,34)</f>
        <v/>
      </c>
      <c r="J35">
        <f>ROUND(I35-I34,2)</f>
        <v/>
      </c>
      <c r="K35">
        <f>I35-J35/2</f>
        <v/>
      </c>
      <c r="L35">
        <f>IF(AND(J35&gt;0,K35&lt;MIN($H$31,$H$61)),1,0)</f>
        <v/>
      </c>
      <c r="M35">
        <f>M34+L35</f>
        <v/>
      </c>
    </row>
    <row r="36">
      <c r="H36">
        <f>ROUND(H35+Participantes!O10,2)</f>
        <v/>
      </c>
      <c r="I36">
        <f>SMALL($H$2:$H$61,35)</f>
        <v/>
      </c>
      <c r="J36">
        <f>ROUND(I36-I35,2)</f>
        <v/>
      </c>
      <c r="K36">
        <f>I36-J36/2</f>
        <v/>
      </c>
      <c r="L36">
        <f>IF(AND(J36&gt;0,K36&lt;MIN($H$31,$H$61)),1,0)</f>
        <v/>
      </c>
      <c r="M36">
        <f>M35+L36</f>
        <v/>
      </c>
    </row>
    <row r="37">
      <c r="H37">
        <f>ROUND(H36+Participantes!O11,2)</f>
        <v/>
      </c>
      <c r="I37">
        <f>SMALL($H$2:$H$61,36)</f>
        <v/>
      </c>
      <c r="J37">
        <f>ROUND(I37-I36,2)</f>
        <v/>
      </c>
      <c r="K37">
        <f>I37-J37/2</f>
        <v/>
      </c>
      <c r="L37">
        <f>IF(AND(J37&gt;0,K37&lt;MIN($H$31,$H$61)),1,0)</f>
        <v/>
      </c>
      <c r="M37">
        <f>M36+L37</f>
        <v/>
      </c>
    </row>
    <row r="38">
      <c r="H38">
        <f>ROUND(H37+Participantes!O12,2)</f>
        <v/>
      </c>
      <c r="I38">
        <f>SMALL($H$2:$H$61,37)</f>
        <v/>
      </c>
      <c r="J38">
        <f>ROUND(I38-I37,2)</f>
        <v/>
      </c>
      <c r="K38">
        <f>I38-J38/2</f>
        <v/>
      </c>
      <c r="L38">
        <f>IF(AND(J38&gt;0,K38&lt;MIN($H$31,$H$61)),1,0)</f>
        <v/>
      </c>
      <c r="M38">
        <f>M37+L38</f>
        <v/>
      </c>
    </row>
    <row r="39">
      <c r="H39">
        <f>ROUND(H38+Participantes!O13,2)</f>
        <v/>
      </c>
      <c r="I39">
        <f>SMALL($H$2:$H$61,38)</f>
        <v/>
      </c>
      <c r="J39">
        <f>ROUND(I39-I38,2)</f>
        <v/>
      </c>
      <c r="K39">
        <f>I39-J39/2</f>
        <v/>
      </c>
      <c r="L39">
        <f>IF(AND(J39&gt;0,K39&lt;MIN($H$31,$H$61)),1,0)</f>
        <v/>
      </c>
      <c r="M39">
        <f>M38+L39</f>
        <v/>
      </c>
    </row>
    <row r="40">
      <c r="H40">
        <f>ROUND(H39+Participantes!O14,2)</f>
        <v/>
      </c>
      <c r="I40">
        <f>SMALL($H$2:$H$61,39)</f>
        <v/>
      </c>
      <c r="J40">
        <f>ROUND(I40-I39,2)</f>
        <v/>
      </c>
      <c r="K40">
        <f>I40-J40/2</f>
        <v/>
      </c>
      <c r="L40">
        <f>IF(AND(J40&gt;0,K40&lt;MIN($H$31,$H$61)),1,0)</f>
        <v/>
      </c>
      <c r="M40">
        <f>M39+L40</f>
        <v/>
      </c>
    </row>
    <row r="41">
      <c r="H41">
        <f>ROUND(H40+Participantes!O15,2)</f>
        <v/>
      </c>
      <c r="I41">
        <f>SMALL($H$2:$H$61,40)</f>
        <v/>
      </c>
      <c r="J41">
        <f>ROUND(I41-I40,2)</f>
        <v/>
      </c>
      <c r="K41">
        <f>I41-J41/2</f>
        <v/>
      </c>
      <c r="L41">
        <f>IF(AND(J41&gt;0,K41&lt;MIN($H$31,$H$61)),1,0)</f>
        <v/>
      </c>
      <c r="M41">
        <f>M40+L41</f>
        <v/>
      </c>
    </row>
    <row r="42">
      <c r="H42">
        <f>ROUND(H41+Participantes!O16,2)</f>
        <v/>
      </c>
      <c r="I42">
        <f>SMALL($H$2:$H$61,41)</f>
        <v/>
      </c>
      <c r="J42">
        <f>ROUND(I42-I41,2)</f>
        <v/>
      </c>
      <c r="K42">
        <f>I42-J42/2</f>
        <v/>
      </c>
      <c r="L42">
        <f>IF(AND(J42&gt;0,K42&lt;MIN($H$31,$H$61)),1,0)</f>
        <v/>
      </c>
      <c r="M42">
        <f>M41+L42</f>
        <v/>
      </c>
    </row>
    <row r="43">
      <c r="H43">
        <f>ROUND(H42+Participantes!O17,2)</f>
        <v/>
      </c>
      <c r="I43">
        <f>SMALL($H$2:$H$61,42)</f>
        <v/>
      </c>
      <c r="J43">
        <f>ROUND(I43-I42,2)</f>
        <v/>
      </c>
      <c r="K43">
        <f>I43-J43/2</f>
        <v/>
      </c>
      <c r="L43">
        <f>IF(AND(J43&gt;0,K43&lt;MIN($H$31,$H$61)),1,0)</f>
        <v/>
      </c>
      <c r="M43">
        <f>M42+L43</f>
        <v/>
      </c>
    </row>
    <row r="44">
      <c r="H44">
        <f>ROUND(H43+Participantes!O18,2)</f>
        <v/>
      </c>
      <c r="I44">
        <f>SMALL($H$2:$H$61,43)</f>
        <v/>
      </c>
      <c r="J44">
        <f>ROUND(I44-I43,2)</f>
        <v/>
      </c>
      <c r="K44">
        <f>I44-J44/2</f>
        <v/>
      </c>
      <c r="L44">
        <f>IF(AND(J44&gt;0,K44&lt;MIN($H$31,$H$61)),1,0)</f>
        <v/>
      </c>
      <c r="M44">
        <f>M43+L44</f>
        <v/>
      </c>
    </row>
    <row r="45">
      <c r="H45">
        <f>ROUND(H44+Participantes!O19,2)</f>
        <v/>
      </c>
      <c r="I45">
        <f>SMALL($H$2:$H$61,44)</f>
        <v/>
      </c>
      <c r="J45">
        <f>ROUND(I45-I44,2)</f>
        <v/>
      </c>
      <c r="K45">
        <f>I45-J45/2</f>
        <v/>
      </c>
      <c r="L45">
        <f>IF(AND(J45&gt;0,K45&lt;MIN($H$31,$H$61)),1,0)</f>
        <v/>
      </c>
      <c r="M45">
        <f>M44+L45</f>
        <v/>
      </c>
    </row>
    <row r="46">
      <c r="H46">
        <f>ROUND(H45+Participantes!O20,2)</f>
        <v/>
      </c>
      <c r="I46">
        <f>SMALL($H$2:$H$61,45)</f>
        <v/>
      </c>
      <c r="J46">
        <f>ROUND(I46-I45,2)</f>
        <v/>
      </c>
      <c r="K46">
        <f>I46-J46/2</f>
        <v/>
      </c>
      <c r="L46">
        <f>IF(AND(J46&gt;0,K46&lt;MIN($H$31,$H$61)),1,0)</f>
        <v/>
      </c>
      <c r="M46">
        <f>M45+L46</f>
        <v/>
      </c>
    </row>
    <row r="47">
      <c r="H47">
        <f>ROUND(H46+Participantes!O21,2)</f>
        <v/>
      </c>
      <c r="I47">
        <f>SMALL($H$2:$H$61,46)</f>
        <v/>
      </c>
      <c r="J47">
        <f>ROUND(I47-I46,2)</f>
        <v/>
      </c>
      <c r="K47">
        <f>I47-J47/2</f>
        <v/>
      </c>
      <c r="L47">
        <f>IF(AND(J47&gt;0,K47&lt;MIN($H$31,$H$61)),1,0)</f>
        <v/>
      </c>
      <c r="M47">
        <f>M46+L47</f>
        <v/>
      </c>
    </row>
    <row r="48">
      <c r="H48">
        <f>ROUND(H47+Participantes!O22,2)</f>
        <v/>
      </c>
      <c r="I48">
        <f>SMALL($H$2:$H$61,47)</f>
        <v/>
      </c>
      <c r="J48">
        <f>ROUND(I48-I47,2)</f>
        <v/>
      </c>
      <c r="K48">
        <f>I48-J48/2</f>
        <v/>
      </c>
      <c r="L48">
        <f>IF(AND(J48&gt;0,K48&lt;MIN($H$31,$H$61)),1,0)</f>
        <v/>
      </c>
      <c r="M48">
        <f>M47+L48</f>
        <v/>
      </c>
    </row>
    <row r="49">
      <c r="H49">
        <f>ROUND(H48+Participantes!O23,2)</f>
        <v/>
      </c>
      <c r="I49">
        <f>SMALL($H$2:$H$61,48)</f>
        <v/>
      </c>
      <c r="J49">
        <f>ROUND(I49-I48,2)</f>
        <v/>
      </c>
      <c r="K49">
        <f>I49-J49/2</f>
        <v/>
      </c>
      <c r="L49">
        <f>IF(AND(J49&gt;0,K49&lt;MIN($H$31,$H$61)),1,0)</f>
        <v/>
      </c>
      <c r="M49">
        <f>M48+L49</f>
        <v/>
      </c>
    </row>
    <row r="50">
      <c r="H50">
        <f>ROUND(H49+Participantes!O24,2)</f>
        <v/>
      </c>
      <c r="I50">
        <f>SMALL($H$2:$H$61,49)</f>
        <v/>
      </c>
      <c r="J50">
        <f>ROUND(I50-I49,2)</f>
        <v/>
      </c>
      <c r="K50">
        <f>I50-J50/2</f>
        <v/>
      </c>
      <c r="L50">
        <f>IF(AND(J50&gt;0,K50&lt;MIN($H$31,$H$61)),1,0)</f>
        <v/>
      </c>
      <c r="M50">
        <f>M49+L50</f>
        <v/>
      </c>
    </row>
    <row r="51">
      <c r="H51">
        <f>ROUND(H50+Participantes!O25,2)</f>
        <v/>
      </c>
      <c r="I51">
        <f>SMALL($H$2:$H$61,50)</f>
        <v/>
      </c>
      <c r="J51">
        <f>ROUND(I51-I50,2)</f>
        <v/>
      </c>
      <c r="K51">
        <f>I51-J51/2</f>
        <v/>
      </c>
      <c r="L51">
        <f>IF(AND(J51&gt;0,K51&lt;MIN($H$31,$H$61)),1,0)</f>
        <v/>
      </c>
      <c r="M51">
        <f>M50+L51</f>
        <v/>
      </c>
    </row>
    <row r="52">
      <c r="H52">
        <f>ROUND(H51+Participantes!O26,2)</f>
        <v/>
      </c>
      <c r="I52">
        <f>SMALL($H$2:$H$61,51)</f>
        <v/>
      </c>
      <c r="J52">
        <f>ROUND(I52-I51,2)</f>
        <v/>
      </c>
      <c r="K52">
        <f>I52-J52/2</f>
        <v/>
      </c>
      <c r="L52">
        <f>IF(AND(J52&gt;0,K52&lt;MIN($H$31,$H$61)),1,0)</f>
        <v/>
      </c>
      <c r="M52">
        <f>M51+L52</f>
        <v/>
      </c>
    </row>
    <row r="53">
      <c r="H53">
        <f>ROUND(H52+Participantes!O27,2)</f>
        <v/>
      </c>
      <c r="I53">
        <f>SMALL($H$2:$H$61,52)</f>
        <v/>
      </c>
      <c r="J53">
        <f>ROUND(I53-I52,2)</f>
        <v/>
      </c>
      <c r="K53">
        <f>I53-J53/2</f>
        <v/>
      </c>
      <c r="L53">
        <f>IF(AND(J53&gt;0,K53&lt;MIN($H$31,$H$61)),1,0)</f>
        <v/>
      </c>
      <c r="M53">
        <f>M52+L53</f>
        <v/>
      </c>
    </row>
    <row r="54">
      <c r="H54">
        <f>ROUND(H53+Participantes!O28,2)</f>
        <v/>
      </c>
      <c r="I54">
        <f>SMALL($H$2:$H$61,53)</f>
        <v/>
      </c>
      <c r="J54">
        <f>ROUND(I54-I53,2)</f>
        <v/>
      </c>
      <c r="K54">
        <f>I54-J54/2</f>
        <v/>
      </c>
      <c r="L54">
        <f>IF(AND(J54&gt;0,K54&lt;MIN($H$31,$H$61)),1,0)</f>
        <v/>
      </c>
      <c r="M54">
        <f>M53+L54</f>
        <v/>
      </c>
    </row>
    <row r="55">
      <c r="H55">
        <f>ROUND(H54+Participantes!O29,2)</f>
        <v/>
      </c>
      <c r="I55">
        <f>SMALL($H$2:$H$61,54)</f>
        <v/>
      </c>
      <c r="J55">
        <f>ROUND(I55-I54,2)</f>
        <v/>
      </c>
      <c r="K55">
        <f>I55-J55/2</f>
        <v/>
      </c>
      <c r="L55">
        <f>IF(AND(J55&gt;0,K55&lt;MIN($H$31,$H$61)),1,0)</f>
        <v/>
      </c>
      <c r="M55">
        <f>M54+L55</f>
        <v/>
      </c>
    </row>
    <row r="56">
      <c r="H56">
        <f>ROUND(H55+Participantes!O30,2)</f>
        <v/>
      </c>
      <c r="I56">
        <f>SMALL($H$2:$H$61,55)</f>
        <v/>
      </c>
      <c r="J56">
        <f>ROUND(I56-I55,2)</f>
        <v/>
      </c>
      <c r="K56">
        <f>I56-J56/2</f>
        <v/>
      </c>
      <c r="L56">
        <f>IF(AND(J56&gt;0,K56&lt;MIN($H$31,$H$61)),1,0)</f>
        <v/>
      </c>
      <c r="M56">
        <f>M55+L56</f>
        <v/>
      </c>
    </row>
    <row r="57">
      <c r="H57">
        <f>ROUND(H56+Participantes!O31,2)</f>
        <v/>
      </c>
      <c r="I57">
        <f>SMALL($H$2:$H$61,56)</f>
        <v/>
      </c>
      <c r="J57">
        <f>ROUND(I57-I56,2)</f>
        <v/>
      </c>
      <c r="K57">
        <f>I57-J57/2</f>
        <v/>
      </c>
      <c r="L57">
        <f>IF(AND(J57&gt;0,K57&lt;MIN($H$31,$H$61)),1,0)</f>
        <v/>
      </c>
      <c r="M57">
        <f>M56+L57</f>
        <v/>
      </c>
    </row>
    <row r="58">
      <c r="H58">
        <f>ROUND(H57+Participantes!O32,2)</f>
        <v/>
      </c>
      <c r="I58">
        <f>SMALL($H$2:$H$61,57)</f>
        <v/>
      </c>
      <c r="J58">
        <f>ROUND(I58-I57,2)</f>
        <v/>
      </c>
      <c r="K58">
        <f>I58-J58/2</f>
        <v/>
      </c>
      <c r="L58">
        <f>IF(AND(J58&gt;0,K58&lt;MIN($H$31,$H$61)),1,0)</f>
        <v/>
      </c>
      <c r="M58">
        <f>M57+L58</f>
        <v/>
      </c>
    </row>
    <row r="59">
      <c r="H59">
        <f>ROUND(H58+Participantes!O33,2)</f>
        <v/>
      </c>
      <c r="I59">
        <f>SMALL($H$2:$H$61,58)</f>
        <v/>
      </c>
      <c r="J59">
        <f>ROUND(I59-I58,2)</f>
        <v/>
      </c>
      <c r="K59">
        <f>I59-J59/2</f>
        <v/>
      </c>
      <c r="L59">
        <f>IF(AND(J59&gt;0,K59&lt;MIN($H$31,$H$61)),1,0)</f>
        <v/>
      </c>
      <c r="M59">
        <f>M58+L59</f>
        <v/>
      </c>
    </row>
    <row r="60">
      <c r="H60">
        <f>ROUND(H59+Participantes!O34,2)</f>
        <v/>
      </c>
      <c r="I60">
        <f>SMALL($H$2:$H$61,59)</f>
        <v/>
      </c>
      <c r="J60">
        <f>ROUND(I60-I59,2)</f>
        <v/>
      </c>
      <c r="K60">
        <f>I60-J60/2</f>
        <v/>
      </c>
      <c r="L60">
        <f>IF(AND(J60&gt;0,K60&lt;MIN($H$31,$H$61)),1,0)</f>
        <v/>
      </c>
      <c r="M60">
        <f>M59+L60</f>
        <v/>
      </c>
    </row>
    <row r="61">
      <c r="H61">
        <f>ROUND(H60+Participantes!O35,2)</f>
        <v/>
      </c>
      <c r="I61">
        <f>SMALL($H$2:$H$61,60)</f>
        <v/>
      </c>
      <c r="J61">
        <f>ROUND(I61-I60,2)</f>
        <v/>
      </c>
      <c r="K61">
        <f>I61-J61/2</f>
        <v/>
      </c>
      <c r="L61">
        <f>IF(AND(J61&gt;0,K61&lt;MIN($H$31,$H$61)),1,0)</f>
        <v/>
      </c>
      <c r="M61">
        <f>M60+L61</f>
        <v/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2026-10-03T09:46:14Z</dcterms:created>
  <dcterms:modified xmlns:dcterms="http://purl.org/dc/terms/" xmlns:xsi="http://www.w3.org/2001/XMLSchema-instance" xsi:type="dcterms:W3CDTF">2026-10-03T09:46:14Z</dcterms:modified>
</cp:coreProperties>
</file>