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Familias" sheetId="2" state="visible" r:id="rId2"/>
    <sheet xmlns:r="http://schemas.openxmlformats.org/officeDocument/2006/relationships" name="Gastos" sheetId="3" state="visible" r:id="rId3"/>
    <sheet xmlns:r="http://schemas.openxmlformats.org/officeDocument/2006/relationships" name="Liquidación" sheetId="4" state="visible" r:id="rId4"/>
    <sheet xmlns:r="http://schemas.openxmlformats.org/officeDocument/2006/relationships" name="Listas" sheetId="5" state="hidden" r:id="rId5"/>
    <sheet xmlns:r="http://schemas.openxmlformats.org/officeDocument/2006/relationships" name="Instruccion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 &quot;€&quot;"/>
    <numFmt numFmtId="165" formatCode="yyyy-mm-dd"/>
    <numFmt numFmtId="166" formatCode="dd/mm/yyyy"/>
    <numFmt numFmtId="167" formatCode="#,##0.00 &quot;€&quot;;-#,##0.00 &quot;€&quot;;;@"/>
    <numFmt numFmtId="168" formatCode="0.0%"/>
    <numFmt numFmtId="169" formatCode="hh:mm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2744A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6" fillId="5" borderId="1" applyAlignment="1" applyProtection="1" pivotButton="0" quotePrefix="0" xfId="0">
      <alignment vertical="center"/>
      <protection locked="0" hidden="0"/>
    </xf>
    <xf numFmtId="0" fontId="0" fillId="0" borderId="1" pivotButton="0" quotePrefix="0" xfId="0"/>
    <xf numFmtId="0" fontId="10" fillId="0" borderId="0" applyAlignment="1" pivotButton="0" quotePrefix="0" xfId="0">
      <alignment horizontal="right" vertical="center"/>
    </xf>
    <xf numFmtId="3" fontId="8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166" fontId="6" fillId="5" borderId="1" applyAlignment="1" applyProtection="1" pivotButton="0" quotePrefix="0" xfId="0">
      <alignment horizontal="center" vertical="center"/>
      <protection locked="0" hidden="0"/>
    </xf>
    <xf numFmtId="169" fontId="6" fillId="5" borderId="1" applyAlignment="1" applyProtection="1" pivotButton="0" quotePrefix="0" xfId="0">
      <alignment horizontal="center" vertical="center"/>
      <protection locked="0" hidden="0"/>
    </xf>
    <xf numFmtId="164" fontId="8" fillId="0" borderId="1" applyAlignment="1" pivotButton="0" quotePrefix="0" xfId="0">
      <alignment horizontal="center" vertical="center"/>
    </xf>
    <xf numFmtId="9" fontId="6" fillId="5" borderId="1" applyAlignment="1" applyProtection="1" pivotButton="0" quotePrefix="0" xfId="0">
      <alignment horizontal="center" vertical="center"/>
      <protection locked="0" hidden="0"/>
    </xf>
    <xf numFmtId="0" fontId="8" fillId="0" borderId="1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 wrapText="1"/>
    </xf>
    <xf numFmtId="164" fontId="12" fillId="6" borderId="0" applyAlignment="1" pivotButton="0" quotePrefix="0" xfId="0">
      <alignment horizontal="center" vertical="center"/>
    </xf>
    <xf numFmtId="3" fontId="12" fillId="6" borderId="0" applyAlignment="1" pivotButton="0" quotePrefix="0" xfId="0">
      <alignment horizontal="center" vertical="center"/>
    </xf>
    <xf numFmtId="0" fontId="8" fillId="6" borderId="0" applyAlignment="1" pivotButton="0" quotePrefix="0" xfId="0">
      <alignment horizontal="center" vertical="center" wrapText="1"/>
    </xf>
    <xf numFmtId="0" fontId="10" fillId="0" borderId="1" applyAlignment="1" pivotButton="0" quotePrefix="0" xfId="0">
      <alignment vertical="center"/>
    </xf>
    <xf numFmtId="164" fontId="7" fillId="0" borderId="1" applyAlignment="1" pivotButton="0" quotePrefix="0" xfId="0">
      <alignment vertical="center"/>
    </xf>
    <xf numFmtId="168" fontId="7" fillId="0" borderId="1" applyAlignment="1" pivotButton="0" quotePrefix="0" xfId="0">
      <alignment vertical="center"/>
    </xf>
    <xf numFmtId="3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168" fontId="4" fillId="3" borderId="1" applyAlignment="1" pivotButton="0" quotePrefix="0" xfId="0">
      <alignment vertical="center"/>
    </xf>
    <xf numFmtId="3" fontId="4" fillId="3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4" fontId="4" fillId="3" borderId="1" applyAlignment="1" pivotButton="0" quotePrefix="0" xfId="0">
      <alignment vertical="center"/>
    </xf>
    <xf numFmtId="3" fontId="6" fillId="5" borderId="1" applyAlignment="1" applyProtection="1" pivotButton="0" quotePrefix="0" xfId="0">
      <alignment horizontal="center" vertical="center"/>
      <protection locked="0" hidden="0"/>
    </xf>
    <xf numFmtId="4" fontId="7" fillId="0" borderId="1" applyAlignment="1" pivotButton="0" quotePrefix="0" xfId="0">
      <alignment horizontal="center" vertical="center"/>
    </xf>
    <xf numFmtId="0" fontId="6" fillId="5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right" vertical="center"/>
    </xf>
    <xf numFmtId="164" fontId="6" fillId="5" borderId="1" applyAlignment="1" applyProtection="1" pivotButton="0" quotePrefix="0" xfId="0">
      <alignment vertical="center"/>
      <protection locked="0" hidden="0"/>
    </xf>
    <xf numFmtId="0" fontId="3" fillId="0" borderId="0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167" fontId="7" fillId="0" borderId="1" applyAlignment="1" pivotButton="0" quotePrefix="0" xfId="0">
      <alignment vertical="center"/>
    </xf>
    <xf numFmtId="167" fontId="8" fillId="0" borderId="1" applyAlignment="1" pivotButton="0" quotePrefix="0" xfId="0">
      <alignment vertical="center"/>
    </xf>
    <xf numFmtId="167" fontId="4" fillId="3" borderId="1" applyAlignment="1" pivotButton="0" quotePrefix="0" xfId="0">
      <alignment vertical="center"/>
    </xf>
    <xf numFmtId="0" fontId="10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4B5563"/>
      </font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'Resumen'!C18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'Resumen'!$B$19:$B$24</f>
            </numRef>
          </cat>
          <val>
            <numRef>
              <f>'Resumen'!$C$19:$C$24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27</row>
      <rowOff>0</rowOff>
    </from>
    <ext cx="72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3" customWidth="1" min="8" max="8"/>
    <col width="18" customWidth="1" min="9" max="9"/>
    <col width="38" customWidth="1" min="10" max="10"/>
    <col width="24" customWidth="1" min="11" max="11"/>
    <col width="3" customWidth="1" min="12" max="12"/>
  </cols>
  <sheetData>
    <row r="2" ht="34" customHeight="1">
      <c r="B2" s="1" t="inlineStr">
        <is>
          <t>Reunión familiar: panel de control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Gasto total, coste por persona, platos asegurados y cuentas entre familias, de un vistazo.</t>
        </is>
      </c>
    </row>
    <row r="5">
      <c r="B5" s="4" t="inlineStr">
        <is>
          <t>DATOS DE LA REUNIÓN</t>
        </is>
      </c>
      <c r="I5" s="4" t="inlineStr">
        <is>
          <t>PROGRAMA DEL DÍA</t>
        </is>
      </c>
    </row>
    <row r="6" ht="26" customHeight="1">
      <c r="B6" s="5" t="inlineStr">
        <is>
          <t>Evento</t>
        </is>
      </c>
      <c r="C6" s="6" t="inlineStr">
        <is>
          <t>Comida familiar de Navidad</t>
        </is>
      </c>
      <c r="D6" s="7" t="n"/>
      <c r="E6" s="8" t="inlineStr">
        <is>
          <t>Días que faltan</t>
        </is>
      </c>
      <c r="F6" s="9">
        <f>IF(C7="","",MAX(C7-TODAY(),0))</f>
        <v/>
      </c>
      <c r="I6" s="10" t="inlineStr">
        <is>
          <t>Hora</t>
        </is>
      </c>
      <c r="J6" s="10" t="inlineStr">
        <is>
          <t>Actividad</t>
        </is>
      </c>
      <c r="K6" s="10" t="inlineStr">
        <is>
          <t>Responsable</t>
        </is>
      </c>
    </row>
    <row r="7">
      <c r="B7" s="5" t="inlineStr">
        <is>
          <t>Fecha</t>
        </is>
      </c>
      <c r="C7" s="11" t="n">
        <v>46382</v>
      </c>
      <c r="E7" s="8" t="inlineStr">
        <is>
          <t>Personas que vienen</t>
        </is>
      </c>
      <c r="F7" s="9">
        <f>Familias!E5</f>
        <v/>
      </c>
      <c r="I7" s="12" t="n">
        <v>0.5208333333333334</v>
      </c>
      <c r="J7" s="6" t="inlineStr">
        <is>
          <t>Llegada y aperitivo</t>
        </is>
      </c>
      <c r="K7" s="6" t="inlineStr">
        <is>
          <t>Abuelos Antonio y Carmen</t>
        </is>
      </c>
    </row>
    <row r="8">
      <c r="B8" s="5" t="inlineStr">
        <is>
          <t>Lugar</t>
        </is>
      </c>
      <c r="C8" s="6" t="inlineStr">
        <is>
          <t>Casa de los abuelos (Toledo)</t>
        </is>
      </c>
      <c r="D8" s="7" t="n"/>
      <c r="E8" s="8" t="inlineStr">
        <is>
          <t>Gasto total</t>
        </is>
      </c>
      <c r="F8" s="13">
        <f>Gastos!E5</f>
        <v/>
      </c>
      <c r="I8" s="12" t="n">
        <v>0.5416666666666666</v>
      </c>
      <c r="J8" s="6" t="inlineStr">
        <is>
          <t>Montaje de mesas y sillas</t>
        </is>
      </c>
      <c r="K8" s="6" t="inlineStr">
        <is>
          <t>Familia García Pérez</t>
        </is>
      </c>
    </row>
    <row r="9">
      <c r="B9" s="5" t="inlineStr">
        <is>
          <t>Los niños pagan (% de un adulto)</t>
        </is>
      </c>
      <c r="C9" s="14" t="n">
        <v>0.5</v>
      </c>
      <c r="E9" s="8" t="inlineStr">
        <is>
          <t>Cuentas</t>
        </is>
      </c>
      <c r="F9" s="15">
        <f>IF(Liquidación!F5=0,"Todo saldado","Hay "&amp;Liquidación!F5&amp;" pagos por hacer")</f>
        <v/>
      </c>
      <c r="I9" s="12" t="n">
        <v>0.5625</v>
      </c>
      <c r="J9" s="6" t="inlineStr">
        <is>
          <t>Comida: entrantes y plato principal</t>
        </is>
      </c>
      <c r="K9" s="6" t="inlineStr">
        <is>
          <t>Todos</t>
        </is>
      </c>
    </row>
    <row r="10">
      <c r="I10" s="12" t="n">
        <v>0.6458333333333334</v>
      </c>
      <c r="J10" s="6" t="inlineStr">
        <is>
          <t>Postres y café de sobremesa</t>
        </is>
      </c>
      <c r="K10" s="6" t="inlineStr">
        <is>
          <t>Familia Sánchez Gil</t>
        </is>
      </c>
    </row>
    <row r="11" ht="30" customHeight="1">
      <c r="B11" s="16" t="inlineStr">
        <is>
          <t>GASTO TOTAL</t>
        </is>
      </c>
      <c r="C11" s="16" t="inlineStr">
        <is>
          <t>FAMILIAS QUE VIENEN</t>
        </is>
      </c>
      <c r="D11" s="16" t="inlineStr">
        <is>
          <t>PERSONAS</t>
        </is>
      </c>
      <c r="E11" s="16" t="inlineStr">
        <is>
          <t>COSTE MEDIO POR PERSONA</t>
        </is>
      </c>
      <c r="F11" s="16" t="inlineStr">
        <is>
          <t>A TRANSFERIR ENTRE FAMILIAS</t>
        </is>
      </c>
      <c r="G11" s="16" t="inlineStr">
        <is>
          <t>PAGOS NECESARIOS</t>
        </is>
      </c>
      <c r="I11" s="12" t="n">
        <v>0.6875</v>
      </c>
      <c r="J11" s="6" t="inlineStr">
        <is>
          <t>Amigo invisible</t>
        </is>
      </c>
      <c r="K11" s="6" t="inlineStr">
        <is>
          <t>Familia Pérez Soto</t>
        </is>
      </c>
    </row>
    <row r="12" ht="32" customHeight="1">
      <c r="B12" s="17">
        <f>Gastos!E5</f>
        <v/>
      </c>
      <c r="C12" s="18">
        <f>COUNTA(Familias!B8:B19)-COUNTIF(Familias!I8:I19,"No")</f>
        <v/>
      </c>
      <c r="D12" s="18">
        <f>Familias!E5</f>
        <v/>
      </c>
      <c r="E12" s="17">
        <f>IF(Familias!E5=0,0,Gastos!E5/Familias!E5)</f>
        <v/>
      </c>
      <c r="F12" s="17">
        <f>Liquidación!D5</f>
        <v/>
      </c>
      <c r="G12" s="18">
        <f>Liquidación!F5</f>
        <v/>
      </c>
      <c r="I12" s="12" t="n">
        <v>0.7291666666666666</v>
      </c>
      <c r="J12" s="6" t="inlineStr">
        <is>
          <t>Juegos para los niños</t>
        </is>
      </c>
      <c r="K12" s="6" t="inlineStr">
        <is>
          <t>Familia López Ruiz</t>
        </is>
      </c>
    </row>
    <row r="13">
      <c r="I13" s="12" t="n">
        <v>0.7708333333333334</v>
      </c>
      <c r="J13" s="6" t="inlineStr">
        <is>
          <t>Foto de familia</t>
        </is>
      </c>
      <c r="K13" s="6" t="inlineStr">
        <is>
          <t>Tío Javier Soto</t>
        </is>
      </c>
    </row>
    <row r="14" ht="30" customHeight="1">
      <c r="B14" s="16" t="inlineStr">
        <is>
          <t>PLATOS ASEGURADOS</t>
        </is>
      </c>
      <c r="C14" s="16" t="inlineStr">
        <is>
          <t>FAMILIAS SIN CONFIRMAR</t>
        </is>
      </c>
      <c r="D14" s="16" t="inlineStr">
        <is>
          <t>FAMILIAS QUE NO VIENEN</t>
        </is>
      </c>
      <c r="E14" s="16" t="inlineStr">
        <is>
          <t>GASTOS A REVISAR</t>
        </is>
      </c>
      <c r="F14" s="16" t="inlineStr">
        <is>
          <t>CUOTA DE UN ADULTO</t>
        </is>
      </c>
      <c r="G14" s="16" t="inlineStr">
        <is>
          <t>MAYOR PAGADOR</t>
        </is>
      </c>
      <c r="I14" s="12" t="n">
        <v>0.7916666666666666</v>
      </c>
      <c r="J14" s="6" t="inlineStr">
        <is>
          <t>Recoger y limpiar</t>
        </is>
      </c>
      <c r="K14" s="6" t="inlineStr">
        <is>
          <t>Todos</t>
        </is>
      </c>
    </row>
    <row r="15" ht="32" customHeight="1">
      <c r="B15" s="18">
        <f>SUMPRODUCT((Familias!G8:G19&lt;&gt;"")*(Familias!I8:I19="Sí"))</f>
        <v/>
      </c>
      <c r="C15" s="18">
        <f>COUNTIF(Familias!I8:I19,"Pendiente")</f>
        <v/>
      </c>
      <c r="D15" s="18">
        <f>COUNTIF(Familias!I8:I19,"No")</f>
        <v/>
      </c>
      <c r="E15" s="18">
        <f>COUNTIF(Gastos!H8:H47,"Revisar")</f>
        <v/>
      </c>
      <c r="F15" s="17">
        <f>IF(Familias!F5=0,0,(Gastos!E5-Gastos!G5)/Familias!F5)+IF(Familias!C5=0,0,Gastos!G5/Familias!C5)</f>
        <v/>
      </c>
      <c r="G15" s="19">
        <f>IF(MAX(Familias!J8:J19)=0,"-",INDEX(Familias!B8:B19,MATCH(MAX(Familias!J8:J19),Familias!J8:J19,0)))</f>
        <v/>
      </c>
      <c r="I15" s="12" t="n"/>
      <c r="J15" s="6" t="n"/>
      <c r="K15" s="6" t="n"/>
    </row>
    <row r="16">
      <c r="I16" s="12" t="n"/>
      <c r="J16" s="6" t="n"/>
      <c r="K16" s="6" t="n"/>
    </row>
    <row r="17">
      <c r="B17" s="4" t="inlineStr">
        <is>
          <t>GASTOS POR CATEGORÍA</t>
        </is>
      </c>
      <c r="I17" s="12" t="n"/>
      <c r="J17" s="6" t="n"/>
      <c r="K17" s="6" t="n"/>
    </row>
    <row r="18" ht="26" customHeight="1">
      <c r="B18" s="10" t="inlineStr">
        <is>
          <t>Categoría</t>
        </is>
      </c>
      <c r="C18" s="10" t="inlineStr">
        <is>
          <t>Importe</t>
        </is>
      </c>
      <c r="D18" s="10" t="inlineStr">
        <is>
          <t>% del total</t>
        </is>
      </c>
      <c r="E18" s="10" t="inlineStr">
        <is>
          <t>Nº de gastos</t>
        </is>
      </c>
      <c r="F18" s="10" t="inlineStr">
        <is>
          <t>Media por gasto</t>
        </is>
      </c>
      <c r="I18" s="12" t="n"/>
      <c r="J18" s="6" t="n"/>
      <c r="K18" s="6" t="n"/>
    </row>
    <row r="19">
      <c r="B19" s="20" t="inlineStr">
        <is>
          <t>Comida</t>
        </is>
      </c>
      <c r="C19" s="21">
        <f>SUMIF(Gastos!$D$8:$D$47,$B19,Gastos!$E$8:$E$47)</f>
        <v/>
      </c>
      <c r="D19" s="22">
        <f>IF($C$25=0,0,C19/$C$25)</f>
        <v/>
      </c>
      <c r="E19" s="23">
        <f>COUNTIF(Gastos!$D$8:$D$47,$B19)</f>
        <v/>
      </c>
      <c r="F19" s="21">
        <f>IF(E19=0,0,C19/E19)</f>
        <v/>
      </c>
    </row>
    <row r="20">
      <c r="B20" s="20" t="inlineStr">
        <is>
          <t>Bebidas</t>
        </is>
      </c>
      <c r="C20" s="21">
        <f>SUMIF(Gastos!$D$8:$D$47,$B20,Gastos!$E$8:$E$47)</f>
        <v/>
      </c>
      <c r="D20" s="22">
        <f>IF($C$25=0,0,C20/$C$25)</f>
        <v/>
      </c>
      <c r="E20" s="23">
        <f>COUNTIF(Gastos!$D$8:$D$47,$B20)</f>
        <v/>
      </c>
      <c r="F20" s="21">
        <f>IF(E20=0,0,C20/E20)</f>
        <v/>
      </c>
    </row>
    <row r="21">
      <c r="B21" s="20" t="inlineStr">
        <is>
          <t>Alquiler y material</t>
        </is>
      </c>
      <c r="C21" s="21">
        <f>SUMIF(Gastos!$D$8:$D$47,$B21,Gastos!$E$8:$E$47)</f>
        <v/>
      </c>
      <c r="D21" s="22">
        <f>IF($C$25=0,0,C21/$C$25)</f>
        <v/>
      </c>
      <c r="E21" s="23">
        <f>COUNTIF(Gastos!$D$8:$D$47,$B21)</f>
        <v/>
      </c>
      <c r="F21" s="21">
        <f>IF(E21=0,0,C21/E21)</f>
        <v/>
      </c>
      <c r="I21" s="4" t="inlineStr">
        <is>
          <t>COBERTURA DEL MENÚ</t>
        </is>
      </c>
    </row>
    <row r="22" ht="26" customHeight="1">
      <c r="B22" s="20" t="inlineStr">
        <is>
          <t>Decoración</t>
        </is>
      </c>
      <c r="C22" s="21">
        <f>SUMIF(Gastos!$D$8:$D$47,$B22,Gastos!$E$8:$E$47)</f>
        <v/>
      </c>
      <c r="D22" s="22">
        <f>IF($C$25=0,0,C22/$C$25)</f>
        <v/>
      </c>
      <c r="E22" s="23">
        <f>COUNTIF(Gastos!$D$8:$D$47,$B22)</f>
        <v/>
      </c>
      <c r="F22" s="21">
        <f>IF(E22=0,0,C22/E22)</f>
        <v/>
      </c>
      <c r="I22" s="10" t="inlineStr">
        <is>
          <t>Tipo de plato</t>
        </is>
      </c>
      <c r="J22" s="10" t="inlineStr">
        <is>
          <t>Platos confirmados</t>
        </is>
      </c>
      <c r="K22" s="10" t="inlineStr">
        <is>
          <t>Estado</t>
        </is>
      </c>
    </row>
    <row r="23">
      <c r="B23" s="20" t="inlineStr">
        <is>
          <t>Juegos y regalos</t>
        </is>
      </c>
      <c r="C23" s="21">
        <f>SUMIF(Gastos!$D$8:$D$47,$B23,Gastos!$E$8:$E$47)</f>
        <v/>
      </c>
      <c r="D23" s="22">
        <f>IF($C$25=0,0,C23/$C$25)</f>
        <v/>
      </c>
      <c r="E23" s="23">
        <f>COUNTIF(Gastos!$D$8:$D$47,$B23)</f>
        <v/>
      </c>
      <c r="F23" s="21">
        <f>IF(E23=0,0,C23/E23)</f>
        <v/>
      </c>
      <c r="I23" s="20" t="inlineStr">
        <is>
          <t>Entrante</t>
        </is>
      </c>
      <c r="J23" s="23">
        <f>COUNTIFS(Familias!$H$8:$H$19,$I23,Familias!$I$8:$I$19,"Sí")</f>
        <v/>
      </c>
      <c r="K23" s="24">
        <f>IF(J23=0,IF(I23="Otros","Opcional","Falta"),IF(J23=1,"Justo","Cubierto"))</f>
        <v/>
      </c>
    </row>
    <row r="24">
      <c r="B24" s="20" t="inlineStr">
        <is>
          <t>Otros</t>
        </is>
      </c>
      <c r="C24" s="21">
        <f>SUMIF(Gastos!$D$8:$D$47,$B24,Gastos!$E$8:$E$47)</f>
        <v/>
      </c>
      <c r="D24" s="22">
        <f>IF($C$25=0,0,C24/$C$25)</f>
        <v/>
      </c>
      <c r="E24" s="23">
        <f>COUNTIF(Gastos!$D$8:$D$47,$B24)</f>
        <v/>
      </c>
      <c r="F24" s="21">
        <f>IF(E24=0,0,C24/E24)</f>
        <v/>
      </c>
      <c r="I24" s="20" t="inlineStr">
        <is>
          <t>Principal</t>
        </is>
      </c>
      <c r="J24" s="23">
        <f>COUNTIFS(Familias!$H$8:$H$19,$I24,Familias!$I$8:$I$19,"Sí")</f>
        <v/>
      </c>
      <c r="K24" s="24">
        <f>IF(J24=0,IF(I24="Otros","Opcional","Falta"),IF(J24=1,"Justo","Cubierto"))</f>
        <v/>
      </c>
    </row>
    <row r="25">
      <c r="B25" s="25" t="inlineStr">
        <is>
          <t>TOTAL</t>
        </is>
      </c>
      <c r="C25" s="26">
        <f>SUM(C19:C24)</f>
        <v/>
      </c>
      <c r="D25" s="27">
        <f>SUM(D19:D24)</f>
        <v/>
      </c>
      <c r="E25" s="28">
        <f>SUM(E19:E24)</f>
        <v/>
      </c>
      <c r="F25" s="26">
        <f>IF(E25=0,0,C25/E25)</f>
        <v/>
      </c>
      <c r="I25" s="20" t="inlineStr">
        <is>
          <t>Postre</t>
        </is>
      </c>
      <c r="J25" s="23">
        <f>COUNTIFS(Familias!$H$8:$H$19,$I25,Familias!$I$8:$I$19,"Sí")</f>
        <v/>
      </c>
      <c r="K25" s="24">
        <f>IF(J25=0,IF(I25="Otros","Opcional","Falta"),IF(J25=1,"Justo","Cubierto"))</f>
        <v/>
      </c>
    </row>
    <row r="26">
      <c r="B26" s="29" t="inlineStr">
        <is>
          <t>Control: gastos sin categoría</t>
        </is>
      </c>
      <c r="C26" s="21">
        <f>ROUND(Gastos!E5-C25,2)</f>
        <v/>
      </c>
      <c r="I26" s="20" t="inlineStr">
        <is>
          <t>Bebida</t>
        </is>
      </c>
      <c r="J26" s="23">
        <f>COUNTIFS(Familias!$H$8:$H$19,$I26,Familias!$I$8:$I$19,"Sí")</f>
        <v/>
      </c>
      <c r="K26" s="24">
        <f>IF(J26=0,IF(I26="Otros","Opcional","Falta"),IF(J26=1,"Justo","Cubierto"))</f>
        <v/>
      </c>
    </row>
    <row r="27">
      <c r="I27" s="20" t="inlineStr">
        <is>
          <t>Pan y aperitivo</t>
        </is>
      </c>
      <c r="J27" s="23">
        <f>COUNTIFS(Familias!$H$8:$H$19,$I27,Familias!$I$8:$I$19,"Sí")</f>
        <v/>
      </c>
      <c r="K27" s="24">
        <f>IF(J27=0,IF(I27="Otros","Opcional","Falta"),IF(J27=1,"Justo","Cubierto"))</f>
        <v/>
      </c>
    </row>
    <row r="28">
      <c r="I28" s="20" t="inlineStr">
        <is>
          <t>Otros</t>
        </is>
      </c>
      <c r="J28" s="23">
        <f>COUNTIFS(Familias!$H$8:$H$19,$I28,Familias!$I$8:$I$19,"Sí")</f>
        <v/>
      </c>
      <c r="K28" s="24">
        <f>IF(J28=0,IF(I28="Otros","Opcional","Falta"),IF(J28=1,"Justo","Cubierto"))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C6:D6"/>
    <mergeCell ref="F9:G9"/>
    <mergeCell ref="B3:K3"/>
    <mergeCell ref="B2:K2"/>
    <mergeCell ref="C8:D8"/>
  </mergeCells>
  <conditionalFormatting sqref="F9">
    <cfRule type="cellIs" priority="1" operator="equal" dxfId="0">
      <formula>"Todo saldado"</formula>
    </cfRule>
    <cfRule type="expression" priority="2" dxfId="1">
      <formula>F9&lt;&gt;"Todo saldado"</formula>
    </cfRule>
  </conditionalFormatting>
  <conditionalFormatting sqref="E15">
    <cfRule type="expression" priority="3" dxfId="2">
      <formula>E15&gt;0</formula>
    </cfRule>
  </conditionalFormatting>
  <conditionalFormatting sqref="C15">
    <cfRule type="expression" priority="4" dxfId="1">
      <formula>C15&gt;0</formula>
    </cfRule>
  </conditionalFormatting>
  <conditionalFormatting sqref="C26">
    <cfRule type="expression" priority="5" dxfId="2">
      <formula>C26&lt;&gt;0</formula>
    </cfRule>
  </conditionalFormatting>
  <conditionalFormatting sqref="D19:D24">
    <cfRule type="dataBar" priority="6">
      <dataBar>
        <cfvo type="num" val="0"/>
        <cfvo type="max"/>
        <color rgb="0010B981"/>
      </dataBar>
    </cfRule>
  </conditionalFormatting>
  <conditionalFormatting sqref="K23:K28">
    <cfRule type="cellIs" priority="7" operator="equal" dxfId="2">
      <formula>"Falta"</formula>
    </cfRule>
    <cfRule type="cellIs" priority="8" operator="equal" dxfId="1">
      <formula>"Justo"</formula>
    </cfRule>
    <cfRule type="cellIs" priority="9" operator="equal" dxfId="0">
      <formula>"Cubierto"</formula>
    </cfRule>
    <cfRule type="cellIs" priority="10" operator="equal" dxfId="3">
      <formula>"Opcional"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1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10" customWidth="1" min="3" max="3"/>
    <col width="10" customWidth="1" min="4" max="4"/>
    <col width="11" customWidth="1" min="5" max="5"/>
    <col width="12" customWidth="1" min="6" max="6"/>
    <col width="34" customWidth="1" min="7" max="7"/>
    <col width="17" customWidth="1" min="8" max="8"/>
    <col width="13" customWidth="1" min="9" max="9"/>
    <col width="14" customWidth="1" min="10" max="10"/>
    <col width="15" customWidth="1" min="11" max="11"/>
    <col width="14" customWidth="1" min="12" max="12"/>
    <col width="14" customWidth="1" min="13" max="13"/>
  </cols>
  <sheetData>
    <row r="2" ht="34" customHeight="1">
      <c r="B2" s="1" t="inlineStr">
        <is>
          <t>Familias asistentes y platos a llevar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familia: personas, plato que aporta y confirmación. Lo pagado y lo que le toca se calculan solos.</t>
        </is>
      </c>
    </row>
    <row r="5">
      <c r="B5" s="30" t="inlineStr">
        <is>
          <t>TOTALES (solo familias que vienen)</t>
        </is>
      </c>
      <c r="C5" s="28">
        <f>SUMIF(I8:I19,"&lt;&gt;No",C8:C19)</f>
        <v/>
      </c>
      <c r="D5" s="28">
        <f>SUMIF(I8:I19,"&lt;&gt;No",D8:D19)</f>
        <v/>
      </c>
      <c r="E5" s="28">
        <f>SUM(E8:E19)</f>
        <v/>
      </c>
      <c r="F5" s="31">
        <f>SUM(F8:F19)</f>
        <v/>
      </c>
      <c r="J5" s="26">
        <f>SUM(J8:J19)</f>
        <v/>
      </c>
      <c r="K5" s="26">
        <f>SUM(K8:K19)</f>
        <v/>
      </c>
      <c r="L5" s="26">
        <f>SUM(L8:L19)</f>
        <v/>
      </c>
    </row>
    <row r="7" ht="34" customHeight="1">
      <c r="B7" s="10" t="inlineStr">
        <is>
          <t>Familia</t>
        </is>
      </c>
      <c r="C7" s="10" t="inlineStr">
        <is>
          <t>Adultos</t>
        </is>
      </c>
      <c r="D7" s="10" t="inlineStr">
        <is>
          <t>Niños</t>
        </is>
      </c>
      <c r="E7" s="10" t="inlineStr">
        <is>
          <t>Personas</t>
        </is>
      </c>
      <c r="F7" s="10" t="inlineStr">
        <is>
          <t>Peso en el reparto</t>
        </is>
      </c>
      <c r="G7" s="10" t="inlineStr">
        <is>
          <t>Plato o aportación a llevar</t>
        </is>
      </c>
      <c r="H7" s="10" t="inlineStr">
        <is>
          <t>Tipo de plato</t>
        </is>
      </c>
      <c r="I7" s="10" t="inlineStr">
        <is>
          <t>Asistencia</t>
        </is>
      </c>
      <c r="J7" s="10" t="inlineStr">
        <is>
          <t>Ha pagado</t>
        </is>
      </c>
      <c r="K7" s="10" t="inlineStr">
        <is>
          <t>Le corresponde</t>
        </is>
      </c>
      <c r="L7" s="10" t="inlineStr">
        <is>
          <t>Saldo</t>
        </is>
      </c>
      <c r="M7" s="10" t="inlineStr">
        <is>
          <t>Situación</t>
        </is>
      </c>
    </row>
    <row r="8">
      <c r="B8" s="6" t="inlineStr">
        <is>
          <t>Familia García Pérez</t>
        </is>
      </c>
      <c r="C8" s="32" t="n">
        <v>2</v>
      </c>
      <c r="D8" s="32" t="n">
        <v>2</v>
      </c>
      <c r="E8" s="23">
        <f>IF(B8="","",IF(I8="No",0,C8+D8))</f>
        <v/>
      </c>
      <c r="F8" s="33">
        <f>IF(B8="","",IF(I8="No",0,C8+D8*Resumen!$C$9))</f>
        <v/>
      </c>
      <c r="G8" s="6" t="inlineStr">
        <is>
          <t>Paella para 12 personas</t>
        </is>
      </c>
      <c r="H8" s="34" t="inlineStr">
        <is>
          <t>Principal</t>
        </is>
      </c>
      <c r="I8" s="34" t="inlineStr">
        <is>
          <t>Sí</t>
        </is>
      </c>
      <c r="J8" s="21">
        <f>IF(B8="","",SUMIF(Gastos!$F$8:$F$47,B8,Gastos!$E$8:$E$47))</f>
        <v/>
      </c>
      <c r="K8" s="21">
        <f>IF(B8="","",IFERROR((Gastos!$E$5-Gastos!$G$5)*F8/$F$5,0)+IFERROR(Gastos!$G$5*IF(I8="No",0,C8)/$C$5,0))</f>
        <v/>
      </c>
      <c r="L8" s="21">
        <f>IF(B8="","",J8-K8)</f>
        <v/>
      </c>
      <c r="M8" s="24">
        <f>IF(B8="","",IF(L8&gt;0.005,"Le deben",IF(L8&lt;-0.005,"Debe pagar","Al día")))</f>
        <v/>
      </c>
    </row>
    <row r="9">
      <c r="B9" s="6" t="inlineStr">
        <is>
          <t>Familia Pérez Soto</t>
        </is>
      </c>
      <c r="C9" s="32" t="n">
        <v>2</v>
      </c>
      <c r="D9" s="32" t="n">
        <v>1</v>
      </c>
      <c r="E9" s="23">
        <f>IF(B9="","",IF(I9="No",0,C9+D9))</f>
        <v/>
      </c>
      <c r="F9" s="33">
        <f>IF(B9="","",IF(I9="No",0,C9+D9*Resumen!$C$9))</f>
        <v/>
      </c>
      <c r="G9" s="6" t="inlineStr">
        <is>
          <t>Tortilla de patatas y croquetas</t>
        </is>
      </c>
      <c r="H9" s="34" t="inlineStr">
        <is>
          <t>Entrante</t>
        </is>
      </c>
      <c r="I9" s="34" t="inlineStr">
        <is>
          <t>Sí</t>
        </is>
      </c>
      <c r="J9" s="21">
        <f>IF(B9="","",SUMIF(Gastos!$F$8:$F$47,B9,Gastos!$E$8:$E$47))</f>
        <v/>
      </c>
      <c r="K9" s="21">
        <f>IF(B9="","",IFERROR((Gastos!$E$5-Gastos!$G$5)*F9/$F$5,0)+IFERROR(Gastos!$G$5*IF(I9="No",0,C9)/$C$5,0))</f>
        <v/>
      </c>
      <c r="L9" s="21">
        <f>IF(B9="","",J9-K9)</f>
        <v/>
      </c>
      <c r="M9" s="24">
        <f>IF(B9="","",IF(L9&gt;0.005,"Le deben",IF(L9&lt;-0.005,"Debe pagar","Al día")))</f>
        <v/>
      </c>
    </row>
    <row r="10">
      <c r="B10" s="6" t="inlineStr">
        <is>
          <t>Familia Martín López</t>
        </is>
      </c>
      <c r="C10" s="32" t="n">
        <v>2</v>
      </c>
      <c r="D10" s="32" t="n">
        <v>0</v>
      </c>
      <c r="E10" s="23">
        <f>IF(B10="","",IF(I10="No",0,C10+D10))</f>
        <v/>
      </c>
      <c r="F10" s="33">
        <f>IF(B10="","",IF(I10="No",0,C10+D10*Resumen!$C$9))</f>
        <v/>
      </c>
      <c r="G10" s="6" t="inlineStr">
        <is>
          <t>Ensalada de pasta</t>
        </is>
      </c>
      <c r="H10" s="34" t="inlineStr">
        <is>
          <t>Entrante</t>
        </is>
      </c>
      <c r="I10" s="34" t="inlineStr">
        <is>
          <t>Sí</t>
        </is>
      </c>
      <c r="J10" s="21">
        <f>IF(B10="","",SUMIF(Gastos!$F$8:$F$47,B10,Gastos!$E$8:$E$47))</f>
        <v/>
      </c>
      <c r="K10" s="21">
        <f>IF(B10="","",IFERROR((Gastos!$E$5-Gastos!$G$5)*F10/$F$5,0)+IFERROR(Gastos!$G$5*IF(I10="No",0,C10)/$C$5,0))</f>
        <v/>
      </c>
      <c r="L10" s="21">
        <f>IF(B10="","",J10-K10)</f>
        <v/>
      </c>
      <c r="M10" s="24">
        <f>IF(B10="","",IF(L10&gt;0.005,"Le deben",IF(L10&lt;-0.005,"Debe pagar","Al día")))</f>
        <v/>
      </c>
    </row>
    <row r="11">
      <c r="B11" s="6" t="inlineStr">
        <is>
          <t>Familia López Ruiz</t>
        </is>
      </c>
      <c r="C11" s="32" t="n">
        <v>1</v>
      </c>
      <c r="D11" s="32" t="n">
        <v>1</v>
      </c>
      <c r="E11" s="23">
        <f>IF(B11="","",IF(I11="No",0,C11+D11))</f>
        <v/>
      </c>
      <c r="F11" s="33">
        <f>IF(B11="","",IF(I11="No",0,C11+D11*Resumen!$C$9))</f>
        <v/>
      </c>
      <c r="G11" s="6" t="inlineStr">
        <is>
          <t>Tarta de queso</t>
        </is>
      </c>
      <c r="H11" s="34" t="inlineStr">
        <is>
          <t>Postre</t>
        </is>
      </c>
      <c r="I11" s="34" t="inlineStr">
        <is>
          <t>Sí</t>
        </is>
      </c>
      <c r="J11" s="21">
        <f>IF(B11="","",SUMIF(Gastos!$F$8:$F$47,B11,Gastos!$E$8:$E$47))</f>
        <v/>
      </c>
      <c r="K11" s="21">
        <f>IF(B11="","",IFERROR((Gastos!$E$5-Gastos!$G$5)*F11/$F$5,0)+IFERROR(Gastos!$G$5*IF(I11="No",0,C11)/$C$5,0))</f>
        <v/>
      </c>
      <c r="L11" s="21">
        <f>IF(B11="","",J11-K11)</f>
        <v/>
      </c>
      <c r="M11" s="24">
        <f>IF(B11="","",IF(L11&gt;0.005,"Le deben",IF(L11&lt;-0.005,"Debe pagar","Al día")))</f>
        <v/>
      </c>
    </row>
    <row r="12">
      <c r="B12" s="6" t="inlineStr">
        <is>
          <t>Abuelos Antonio y Carmen</t>
        </is>
      </c>
      <c r="C12" s="32" t="n">
        <v>2</v>
      </c>
      <c r="D12" s="32" t="n">
        <v>0</v>
      </c>
      <c r="E12" s="23">
        <f>IF(B12="","",IF(I12="No",0,C12+D12))</f>
        <v/>
      </c>
      <c r="F12" s="33">
        <f>IF(B12="","",IF(I12="No",0,C12+D12*Resumen!$C$9))</f>
        <v/>
      </c>
      <c r="G12" s="6" t="inlineStr">
        <is>
          <t>Cordero asado</t>
        </is>
      </c>
      <c r="H12" s="34" t="inlineStr">
        <is>
          <t>Principal</t>
        </is>
      </c>
      <c r="I12" s="34" t="inlineStr">
        <is>
          <t>Sí</t>
        </is>
      </c>
      <c r="J12" s="21">
        <f>IF(B12="","",SUMIF(Gastos!$F$8:$F$47,B12,Gastos!$E$8:$E$47))</f>
        <v/>
      </c>
      <c r="K12" s="21">
        <f>IF(B12="","",IFERROR((Gastos!$E$5-Gastos!$G$5)*F12/$F$5,0)+IFERROR(Gastos!$G$5*IF(I12="No",0,C12)/$C$5,0))</f>
        <v/>
      </c>
      <c r="L12" s="21">
        <f>IF(B12="","",J12-K12)</f>
        <v/>
      </c>
      <c r="M12" s="24">
        <f>IF(B12="","",IF(L12&gt;0.005,"Le deben",IF(L12&lt;-0.005,"Debe pagar","Al día")))</f>
        <v/>
      </c>
    </row>
    <row r="13">
      <c r="B13" s="6" t="inlineStr">
        <is>
          <t>Tío Javier Soto</t>
        </is>
      </c>
      <c r="C13" s="32" t="n">
        <v>1</v>
      </c>
      <c r="D13" s="32" t="n">
        <v>0</v>
      </c>
      <c r="E13" s="23">
        <f>IF(B13="","",IF(I13="No",0,C13+D13))</f>
        <v/>
      </c>
      <c r="F13" s="33">
        <f>IF(B13="","",IF(I13="No",0,C13+D13*Resumen!$C$9))</f>
        <v/>
      </c>
      <c r="G13" s="6" t="inlineStr">
        <is>
          <t>Vino y refrescos</t>
        </is>
      </c>
      <c r="H13" s="34" t="inlineStr">
        <is>
          <t>Bebida</t>
        </is>
      </c>
      <c r="I13" s="34" t="inlineStr">
        <is>
          <t>Pendiente</t>
        </is>
      </c>
      <c r="J13" s="21">
        <f>IF(B13="","",SUMIF(Gastos!$F$8:$F$47,B13,Gastos!$E$8:$E$47))</f>
        <v/>
      </c>
      <c r="K13" s="21">
        <f>IF(B13="","",IFERROR((Gastos!$E$5-Gastos!$G$5)*F13/$F$5,0)+IFERROR(Gastos!$G$5*IF(I13="No",0,C13)/$C$5,0))</f>
        <v/>
      </c>
      <c r="L13" s="21">
        <f>IF(B13="","",J13-K13)</f>
        <v/>
      </c>
      <c r="M13" s="24">
        <f>IF(B13="","",IF(L13&gt;0.005,"Le deben",IF(L13&lt;-0.005,"Debe pagar","Al día")))</f>
        <v/>
      </c>
    </row>
    <row r="14">
      <c r="B14" s="6" t="inlineStr">
        <is>
          <t>Familia Sánchez Gil</t>
        </is>
      </c>
      <c r="C14" s="32" t="n">
        <v>2</v>
      </c>
      <c r="D14" s="32" t="n">
        <v>3</v>
      </c>
      <c r="E14" s="23">
        <f>IF(B14="","",IF(I14="No",0,C14+D14))</f>
        <v/>
      </c>
      <c r="F14" s="33">
        <f>IF(B14="","",IF(I14="No",0,C14+D14*Resumen!$C$9))</f>
        <v/>
      </c>
      <c r="G14" s="6" t="inlineStr">
        <is>
          <t>Turrones y mantecados</t>
        </is>
      </c>
      <c r="H14" s="34" t="inlineStr">
        <is>
          <t>Postre</t>
        </is>
      </c>
      <c r="I14" s="34" t="inlineStr">
        <is>
          <t>Sí</t>
        </is>
      </c>
      <c r="J14" s="21">
        <f>IF(B14="","",SUMIF(Gastos!$F$8:$F$47,B14,Gastos!$E$8:$E$47))</f>
        <v/>
      </c>
      <c r="K14" s="21">
        <f>IF(B14="","",IFERROR((Gastos!$E$5-Gastos!$G$5)*F14/$F$5,0)+IFERROR(Gastos!$G$5*IF(I14="No",0,C14)/$C$5,0))</f>
        <v/>
      </c>
      <c r="L14" s="21">
        <f>IF(B14="","",J14-K14)</f>
        <v/>
      </c>
      <c r="M14" s="24">
        <f>IF(B14="","",IF(L14&gt;0.005,"Le deben",IF(L14&lt;-0.005,"Debe pagar","Al día")))</f>
        <v/>
      </c>
    </row>
    <row r="15">
      <c r="B15" s="6" t="inlineStr">
        <is>
          <t>Familia Gil Romero</t>
        </is>
      </c>
      <c r="C15" s="32" t="n">
        <v>2</v>
      </c>
      <c r="D15" s="32" t="n">
        <v>2</v>
      </c>
      <c r="E15" s="23">
        <f>IF(B15="","",IF(I15="No",0,C15+D15))</f>
        <v/>
      </c>
      <c r="F15" s="33">
        <f>IF(B15="","",IF(I15="No",0,C15+D15*Resumen!$C$9))</f>
        <v/>
      </c>
      <c r="G15" s="6" t="inlineStr">
        <is>
          <t>Pan, embutidos y quesos</t>
        </is>
      </c>
      <c r="H15" s="34" t="inlineStr">
        <is>
          <t>Pan y aperitivo</t>
        </is>
      </c>
      <c r="I15" s="34" t="inlineStr">
        <is>
          <t>Sí</t>
        </is>
      </c>
      <c r="J15" s="21">
        <f>IF(B15="","",SUMIF(Gastos!$F$8:$F$47,B15,Gastos!$E$8:$E$47))</f>
        <v/>
      </c>
      <c r="K15" s="21">
        <f>IF(B15="","",IFERROR((Gastos!$E$5-Gastos!$G$5)*F15/$F$5,0)+IFERROR(Gastos!$G$5*IF(I15="No",0,C15)/$C$5,0))</f>
        <v/>
      </c>
      <c r="L15" s="21">
        <f>IF(B15="","",J15-K15)</f>
        <v/>
      </c>
      <c r="M15" s="24">
        <f>IF(B15="","",IF(L15&gt;0.005,"Le deben",IF(L15&lt;-0.005,"Debe pagar","Al día")))</f>
        <v/>
      </c>
    </row>
    <row r="16">
      <c r="B16" s="6" t="inlineStr">
        <is>
          <t>Prima Laura Gil</t>
        </is>
      </c>
      <c r="C16" s="32" t="n">
        <v>1</v>
      </c>
      <c r="D16" s="32" t="n">
        <v>0</v>
      </c>
      <c r="E16" s="23">
        <f>IF(B16="","",IF(I16="No",0,C16+D16))</f>
        <v/>
      </c>
      <c r="F16" s="33">
        <f>IF(B16="","",IF(I16="No",0,C16+D16*Resumen!$C$9))</f>
        <v/>
      </c>
      <c r="G16" s="6" t="n"/>
      <c r="H16" s="34" t="n"/>
      <c r="I16" s="34" t="inlineStr">
        <is>
          <t>No</t>
        </is>
      </c>
      <c r="J16" s="21">
        <f>IF(B16="","",SUMIF(Gastos!$F$8:$F$47,B16,Gastos!$E$8:$E$47))</f>
        <v/>
      </c>
      <c r="K16" s="21">
        <f>IF(B16="","",IFERROR((Gastos!$E$5-Gastos!$G$5)*F16/$F$5,0)+IFERROR(Gastos!$G$5*IF(I16="No",0,C16)/$C$5,0))</f>
        <v/>
      </c>
      <c r="L16" s="21">
        <f>IF(B16="","",J16-K16)</f>
        <v/>
      </c>
      <c r="M16" s="24">
        <f>IF(B16="","",IF(L16&gt;0.005,"Le deben",IF(L16&lt;-0.005,"Debe pagar","Al día")))</f>
        <v/>
      </c>
    </row>
    <row r="17">
      <c r="B17" s="6" t="n"/>
      <c r="C17" s="32" t="n"/>
      <c r="D17" s="32" t="n"/>
      <c r="E17" s="23">
        <f>IF(B17="","",IF(I17="No",0,C17+D17))</f>
        <v/>
      </c>
      <c r="F17" s="33">
        <f>IF(B17="","",IF(I17="No",0,C17+D17*Resumen!$C$9))</f>
        <v/>
      </c>
      <c r="G17" s="6" t="n"/>
      <c r="H17" s="34" t="n"/>
      <c r="I17" s="34" t="n"/>
      <c r="J17" s="21">
        <f>IF(B17="","",SUMIF(Gastos!$F$8:$F$47,B17,Gastos!$E$8:$E$47))</f>
        <v/>
      </c>
      <c r="K17" s="21">
        <f>IF(B17="","",IFERROR((Gastos!$E$5-Gastos!$G$5)*F17/$F$5,0)+IFERROR(Gastos!$G$5*IF(I17="No",0,C17)/$C$5,0))</f>
        <v/>
      </c>
      <c r="L17" s="21">
        <f>IF(B17="","",J17-K17)</f>
        <v/>
      </c>
      <c r="M17" s="24">
        <f>IF(B17="","",IF(L17&gt;0.005,"Le deben",IF(L17&lt;-0.005,"Debe pagar","Al día")))</f>
        <v/>
      </c>
    </row>
    <row r="18">
      <c r="B18" s="6" t="n"/>
      <c r="C18" s="32" t="n"/>
      <c r="D18" s="32" t="n"/>
      <c r="E18" s="23">
        <f>IF(B18="","",IF(I18="No",0,C18+D18))</f>
        <v/>
      </c>
      <c r="F18" s="33">
        <f>IF(B18="","",IF(I18="No",0,C18+D18*Resumen!$C$9))</f>
        <v/>
      </c>
      <c r="G18" s="6" t="n"/>
      <c r="H18" s="34" t="n"/>
      <c r="I18" s="34" t="n"/>
      <c r="J18" s="21">
        <f>IF(B18="","",SUMIF(Gastos!$F$8:$F$47,B18,Gastos!$E$8:$E$47))</f>
        <v/>
      </c>
      <c r="K18" s="21">
        <f>IF(B18="","",IFERROR((Gastos!$E$5-Gastos!$G$5)*F18/$F$5,0)+IFERROR(Gastos!$G$5*IF(I18="No",0,C18)/$C$5,0))</f>
        <v/>
      </c>
      <c r="L18" s="21">
        <f>IF(B18="","",J18-K18)</f>
        <v/>
      </c>
      <c r="M18" s="24">
        <f>IF(B18="","",IF(L18&gt;0.005,"Le deben",IF(L18&lt;-0.005,"Debe pagar","Al día")))</f>
        <v/>
      </c>
    </row>
    <row r="19">
      <c r="B19" s="6" t="n"/>
      <c r="C19" s="32" t="n"/>
      <c r="D19" s="32" t="n"/>
      <c r="E19" s="23">
        <f>IF(B19="","",IF(I19="No",0,C19+D19))</f>
        <v/>
      </c>
      <c r="F19" s="33">
        <f>IF(B19="","",IF(I19="No",0,C19+D19*Resumen!$C$9))</f>
        <v/>
      </c>
      <c r="G19" s="6" t="n"/>
      <c r="H19" s="34" t="n"/>
      <c r="I19" s="34" t="n"/>
      <c r="J19" s="21">
        <f>IF(B19="","",SUMIF(Gastos!$F$8:$F$47,B19,Gastos!$E$8:$E$47))</f>
        <v/>
      </c>
      <c r="K19" s="21">
        <f>IF(B19="","",IFERROR((Gastos!$E$5-Gastos!$G$5)*F19/$F$5,0)+IFERROR(Gastos!$G$5*IF(I19="No",0,C19)/$C$5,0))</f>
        <v/>
      </c>
      <c r="L19" s="21">
        <f>IF(B19="","",J19-K19)</f>
        <v/>
      </c>
      <c r="M19" s="24">
        <f>IF(B19="","",IF(L19&gt;0.005,"Le deben",IF(L19&lt;-0.005,"Debe pagar","Al día")))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I8:I19">
    <cfRule type="cellIs" priority="1" operator="equal" dxfId="0">
      <formula>"Sí"</formula>
    </cfRule>
    <cfRule type="cellIs" priority="2" operator="equal" dxfId="1">
      <formula>"Pendiente"</formula>
    </cfRule>
    <cfRule type="cellIs" priority="3" operator="equal" dxfId="3">
      <formula>"No"</formula>
    </cfRule>
  </conditionalFormatting>
  <conditionalFormatting sqref="M8:M19">
    <cfRule type="cellIs" priority="4" operator="equal" dxfId="0">
      <formula>"Le deben"</formula>
    </cfRule>
    <cfRule type="cellIs" priority="5" operator="equal" dxfId="2">
      <formula>"Debe pagar"</formula>
    </cfRule>
    <cfRule type="cellIs" priority="6" operator="equal" dxfId="3">
      <formula>"Al día"</formula>
    </cfRule>
  </conditionalFormatting>
  <conditionalFormatting sqref="J8:J19">
    <cfRule type="dataBar" priority="7">
      <dataBar>
        <cfvo type="num" val="0"/>
        <cfvo type="max"/>
        <color rgb="0010B981"/>
      </dataBar>
    </cfRule>
  </conditionalFormatting>
  <dataValidations count="2">
    <dataValidation sqref="H8:H19" showDropDown="0" showInputMessage="0" showErrorMessage="0" allowBlank="1" type="list">
      <formula1>=Listas!$C$2:$C$7</formula1>
    </dataValidation>
    <dataValidation sqref="I8:I19" showDropDown="0" showInputMessage="0" showErrorMessage="0" allowBlank="1" type="list">
      <formula1>=Listas!$D$2:$D$4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H4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8" customWidth="1" min="3" max="3"/>
    <col width="21" customWidth="1" min="4" max="4"/>
    <col width="14" customWidth="1" min="5" max="5"/>
    <col width="28" customWidth="1" min="6" max="6"/>
    <col width="15" customWidth="1" min="7" max="7"/>
    <col width="11" customWidth="1" min="8" max="8"/>
  </cols>
  <sheetData>
    <row r="2" ht="34" customHeight="1">
      <c r="B2" s="1" t="inlineStr">
        <is>
          <t>Gastos compartidos de la reunión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Apunta cada gasto con quién lo pagó. El reparto se calcula según el peso de cada familia (adultos y niños).</t>
        </is>
      </c>
    </row>
    <row r="5">
      <c r="B5" s="30" t="inlineStr">
        <is>
          <t>TOTAL GASTADO</t>
        </is>
      </c>
      <c r="E5" s="26">
        <f>SUM(E8:E47)</f>
        <v/>
      </c>
      <c r="F5" s="35" t="inlineStr">
        <is>
          <t>De ellos, solo adultos:</t>
        </is>
      </c>
      <c r="G5" s="26">
        <f>SUMIF(G8:G47,"Solo adultos",E8:E47)</f>
        <v/>
      </c>
    </row>
    <row r="7" ht="30" customHeight="1">
      <c r="B7" s="10" t="inlineStr">
        <is>
          <t>Fecha</t>
        </is>
      </c>
      <c r="C7" s="10" t="inlineStr">
        <is>
          <t>Concepto</t>
        </is>
      </c>
      <c r="D7" s="10" t="inlineStr">
        <is>
          <t>Categoría</t>
        </is>
      </c>
      <c r="E7" s="10" t="inlineStr">
        <is>
          <t>Importe</t>
        </is>
      </c>
      <c r="F7" s="10" t="inlineStr">
        <is>
          <t>Quién lo pagó</t>
        </is>
      </c>
      <c r="G7" s="10" t="inlineStr">
        <is>
          <t>Se reparte entre</t>
        </is>
      </c>
      <c r="H7" s="10" t="inlineStr">
        <is>
          <t>Control</t>
        </is>
      </c>
    </row>
    <row r="8">
      <c r="B8" s="11" t="n">
        <v>46361</v>
      </c>
      <c r="C8" s="6" t="inlineStr">
        <is>
          <t>Cordero y carne para el asado</t>
        </is>
      </c>
      <c r="D8" s="6" t="inlineStr">
        <is>
          <t>Comida</t>
        </is>
      </c>
      <c r="E8" s="36" t="n">
        <v>96.40000000000001</v>
      </c>
      <c r="F8" s="6" t="inlineStr">
        <is>
          <t>Abuelos Antonio y Carmen</t>
        </is>
      </c>
      <c r="G8" s="34" t="inlineStr">
        <is>
          <t>Todos</t>
        </is>
      </c>
      <c r="H8" s="24">
        <f>IF(C8="","",IF(OR(E8="",F8="",COUNTIF(Familias!$B$8:$B$19,F8)=0),"Revisar","OK"))</f>
        <v/>
      </c>
    </row>
    <row r="9">
      <c r="B9" s="11" t="n">
        <v>46366</v>
      </c>
      <c r="C9" s="6" t="inlineStr">
        <is>
          <t>Pan, fiambre y quesos</t>
        </is>
      </c>
      <c r="D9" s="6" t="inlineStr">
        <is>
          <t>Comida</t>
        </is>
      </c>
      <c r="E9" s="36" t="n">
        <v>54.85</v>
      </c>
      <c r="F9" s="6" t="inlineStr">
        <is>
          <t>Familia Gil Romero</t>
        </is>
      </c>
      <c r="G9" s="34" t="inlineStr">
        <is>
          <t>Todos</t>
        </is>
      </c>
      <c r="H9" s="24">
        <f>IF(C9="","",IF(OR(E9="",F9="",COUNTIF(Familias!$B$8:$B$19,F9)=0),"Revisar","OK"))</f>
        <v/>
      </c>
    </row>
    <row r="10">
      <c r="B10" s="11" t="n">
        <v>46374</v>
      </c>
      <c r="C10" s="6" t="inlineStr">
        <is>
          <t>Verduras y fruta</t>
        </is>
      </c>
      <c r="D10" s="6" t="inlineStr">
        <is>
          <t>Comida</t>
        </is>
      </c>
      <c r="E10" s="36" t="n">
        <v>38.2</v>
      </c>
      <c r="F10" s="6" t="inlineStr">
        <is>
          <t>Familia Martín López</t>
        </is>
      </c>
      <c r="G10" s="34" t="inlineStr">
        <is>
          <t>Todos</t>
        </is>
      </c>
      <c r="H10" s="24">
        <f>IF(C10="","",IF(OR(E10="",F10="",COUNTIF(Familias!$B$8:$B$19,F10)=0),"Revisar","OK"))</f>
        <v/>
      </c>
    </row>
    <row r="11">
      <c r="B11" s="11" t="n">
        <v>46376</v>
      </c>
      <c r="C11" s="6" t="inlineStr">
        <is>
          <t>Vino y cava</t>
        </is>
      </c>
      <c r="D11" s="6" t="inlineStr">
        <is>
          <t>Bebidas</t>
        </is>
      </c>
      <c r="E11" s="36" t="n">
        <v>62.5</v>
      </c>
      <c r="F11" s="6" t="inlineStr">
        <is>
          <t>Tío Javier Soto</t>
        </is>
      </c>
      <c r="G11" s="34" t="inlineStr">
        <is>
          <t>Solo adultos</t>
        </is>
      </c>
      <c r="H11" s="24">
        <f>IF(C11="","",IF(OR(E11="",F11="",COUNTIF(Familias!$B$8:$B$19,F11)=0),"Revisar","OK"))</f>
        <v/>
      </c>
    </row>
    <row r="12">
      <c r="B12" s="11" t="n">
        <v>46376</v>
      </c>
      <c r="C12" s="6" t="inlineStr">
        <is>
          <t>Refrescos y agua</t>
        </is>
      </c>
      <c r="D12" s="6" t="inlineStr">
        <is>
          <t>Bebidas</t>
        </is>
      </c>
      <c r="E12" s="36" t="n">
        <v>27.9</v>
      </c>
      <c r="F12" s="6" t="inlineStr">
        <is>
          <t>Familia Pérez Soto</t>
        </is>
      </c>
      <c r="G12" s="34" t="inlineStr">
        <is>
          <t>Todos</t>
        </is>
      </c>
      <c r="H12" s="24">
        <f>IF(C12="","",IF(OR(E12="",F12="",COUNTIF(Familias!$B$8:$B$19,F12)=0),"Revisar","OK"))</f>
        <v/>
      </c>
    </row>
    <row r="13">
      <c r="B13" s="11" t="n">
        <v>46377</v>
      </c>
      <c r="C13" s="6" t="inlineStr">
        <is>
          <t>Alquiler de mesas y sillas extra</t>
        </is>
      </c>
      <c r="D13" s="6" t="inlineStr">
        <is>
          <t>Alquiler y material</t>
        </is>
      </c>
      <c r="E13" s="36" t="n">
        <v>85</v>
      </c>
      <c r="F13" s="6" t="inlineStr">
        <is>
          <t>Familia García Pérez</t>
        </is>
      </c>
      <c r="G13" s="34" t="inlineStr">
        <is>
          <t>Todos</t>
        </is>
      </c>
      <c r="H13" s="24">
        <f>IF(C13="","",IF(OR(E13="",F13="",COUNTIF(Familias!$B$8:$B$19,F13)=0),"Revisar","OK"))</f>
        <v/>
      </c>
    </row>
    <row r="14">
      <c r="B14" s="11" t="n">
        <v>46378</v>
      </c>
      <c r="C14" s="6" t="inlineStr">
        <is>
          <t>Mantelería y vajilla desechable</t>
        </is>
      </c>
      <c r="D14" s="6" t="inlineStr">
        <is>
          <t>Alquiler y material</t>
        </is>
      </c>
      <c r="E14" s="36" t="n">
        <v>31.6</v>
      </c>
      <c r="F14" s="6" t="inlineStr">
        <is>
          <t>Familia López Ruiz</t>
        </is>
      </c>
      <c r="G14" s="34" t="inlineStr">
        <is>
          <t>Todos</t>
        </is>
      </c>
      <c r="H14" s="24">
        <f>IF(C14="","",IF(OR(E14="",F14="",COUNTIF(Familias!$B$8:$B$19,F14)=0),"Revisar","OK"))</f>
        <v/>
      </c>
    </row>
    <row r="15">
      <c r="B15" s="11" t="n">
        <v>46378</v>
      </c>
      <c r="C15" s="6" t="inlineStr">
        <is>
          <t>Decoración navideña y velas</t>
        </is>
      </c>
      <c r="D15" s="6" t="inlineStr">
        <is>
          <t>Decoración</t>
        </is>
      </c>
      <c r="E15" s="36" t="n">
        <v>24.75</v>
      </c>
      <c r="F15" s="6" t="inlineStr">
        <is>
          <t>Familia Sánchez Gil</t>
        </is>
      </c>
      <c r="G15" s="34" t="inlineStr">
        <is>
          <t>Todos</t>
        </is>
      </c>
      <c r="H15" s="24">
        <f>IF(C15="","",IF(OR(E15="",F15="",COUNTIF(Familias!$B$8:$B$19,F15)=0),"Revisar","OK"))</f>
        <v/>
      </c>
    </row>
    <row r="16">
      <c r="B16" s="11" t="n">
        <v>46379</v>
      </c>
      <c r="C16" s="6" t="inlineStr">
        <is>
          <t>Regalos del amigo invisible infantil</t>
        </is>
      </c>
      <c r="D16" s="6" t="inlineStr">
        <is>
          <t>Juegos y regalos</t>
        </is>
      </c>
      <c r="E16" s="36" t="n">
        <v>48</v>
      </c>
      <c r="F16" s="6" t="inlineStr">
        <is>
          <t>Familia Sánchez Gil</t>
        </is>
      </c>
      <c r="G16" s="34" t="inlineStr">
        <is>
          <t>Todos</t>
        </is>
      </c>
      <c r="H16" s="24">
        <f>IF(C16="","",IF(OR(E16="",F16="",COUNTIF(Familias!$B$8:$B$19,F16)=0),"Revisar","OK"))</f>
        <v/>
      </c>
    </row>
    <row r="17">
      <c r="B17" s="11" t="n">
        <v>46379</v>
      </c>
      <c r="C17" s="6" t="inlineStr">
        <is>
          <t>Juegos de mesa y pelotas</t>
        </is>
      </c>
      <c r="D17" s="6" t="inlineStr">
        <is>
          <t>Juegos y regalos</t>
        </is>
      </c>
      <c r="E17" s="36" t="n">
        <v>19.9</v>
      </c>
      <c r="F17" s="6" t="inlineStr">
        <is>
          <t>Familia García Pérez</t>
        </is>
      </c>
      <c r="G17" s="34" t="inlineStr">
        <is>
          <t>Todos</t>
        </is>
      </c>
      <c r="H17" s="24">
        <f>IF(C17="","",IF(OR(E17="",F17="",COUNTIF(Familias!$B$8:$B$19,F17)=0),"Revisar","OK"))</f>
        <v/>
      </c>
    </row>
    <row r="18">
      <c r="B18" s="11" t="n">
        <v>46382</v>
      </c>
      <c r="C18" s="6" t="inlineStr">
        <is>
          <t>Café y licores de sobremesa</t>
        </is>
      </c>
      <c r="D18" s="6" t="inlineStr">
        <is>
          <t>Bebidas</t>
        </is>
      </c>
      <c r="E18" s="36" t="n">
        <v>21.4</v>
      </c>
      <c r="F18" s="6" t="inlineStr">
        <is>
          <t>Abuelos Antonio y Carmen</t>
        </is>
      </c>
      <c r="G18" s="34" t="inlineStr">
        <is>
          <t>Solo adultos</t>
        </is>
      </c>
      <c r="H18" s="24">
        <f>IF(C18="","",IF(OR(E18="",F18="",COUNTIF(Familias!$B$8:$B$19,F18)=0),"Revisar","OK"))</f>
        <v/>
      </c>
    </row>
    <row r="19">
      <c r="B19" s="11" t="n">
        <v>46382</v>
      </c>
      <c r="C19" s="6" t="inlineStr">
        <is>
          <t>Hielo y bolsas de basura</t>
        </is>
      </c>
      <c r="D19" s="6" t="inlineStr">
        <is>
          <t>Otros</t>
        </is>
      </c>
      <c r="E19" s="36" t="n">
        <v>9.800000000000001</v>
      </c>
      <c r="F19" s="6" t="inlineStr">
        <is>
          <t>Familia Martín López</t>
        </is>
      </c>
      <c r="G19" s="34" t="inlineStr">
        <is>
          <t>Todos</t>
        </is>
      </c>
      <c r="H19" s="24">
        <f>IF(C19="","",IF(OR(E19="",F19="",COUNTIF(Familias!$B$8:$B$19,F19)=0),"Revisar","OK"))</f>
        <v/>
      </c>
    </row>
    <row r="20">
      <c r="B20" s="11" t="n">
        <v>46382</v>
      </c>
      <c r="C20" s="6" t="inlineStr">
        <is>
          <t>Fotos impresas para el álbum</t>
        </is>
      </c>
      <c r="D20" s="6" t="inlineStr">
        <is>
          <t>Otros</t>
        </is>
      </c>
      <c r="E20" s="36" t="n">
        <v>14.5</v>
      </c>
      <c r="F20" s="6" t="inlineStr">
        <is>
          <t>Familia López Ruiz</t>
        </is>
      </c>
      <c r="G20" s="34" t="inlineStr">
        <is>
          <t>Todos</t>
        </is>
      </c>
      <c r="H20" s="24">
        <f>IF(C20="","",IF(OR(E20="",F20="",COUNTIF(Familias!$B$8:$B$19,F20)=0),"Revisar","OK"))</f>
        <v/>
      </c>
    </row>
    <row r="21">
      <c r="B21" s="11" t="n"/>
      <c r="C21" s="6" t="n"/>
      <c r="D21" s="6" t="n"/>
      <c r="E21" s="36" t="n"/>
      <c r="F21" s="6" t="n"/>
      <c r="G21" s="34" t="n"/>
      <c r="H21" s="24">
        <f>IF(C21="","",IF(OR(E21="",F21="",COUNTIF(Familias!$B$8:$B$19,F21)=0),"Revisar","OK"))</f>
        <v/>
      </c>
    </row>
    <row r="22">
      <c r="B22" s="11" t="n"/>
      <c r="C22" s="6" t="n"/>
      <c r="D22" s="6" t="n"/>
      <c r="E22" s="36" t="n"/>
      <c r="F22" s="6" t="n"/>
      <c r="G22" s="34" t="n"/>
      <c r="H22" s="24">
        <f>IF(C22="","",IF(OR(E22="",F22="",COUNTIF(Familias!$B$8:$B$19,F22)=0),"Revisar","OK"))</f>
        <v/>
      </c>
    </row>
    <row r="23">
      <c r="B23" s="11" t="n"/>
      <c r="C23" s="6" t="n"/>
      <c r="D23" s="6" t="n"/>
      <c r="E23" s="36" t="n"/>
      <c r="F23" s="6" t="n"/>
      <c r="G23" s="34" t="n"/>
      <c r="H23" s="24">
        <f>IF(C23="","",IF(OR(E23="",F23="",COUNTIF(Familias!$B$8:$B$19,F23)=0),"Revisar","OK"))</f>
        <v/>
      </c>
    </row>
    <row r="24">
      <c r="B24" s="11" t="n"/>
      <c r="C24" s="6" t="n"/>
      <c r="D24" s="6" t="n"/>
      <c r="E24" s="36" t="n"/>
      <c r="F24" s="6" t="n"/>
      <c r="G24" s="34" t="n"/>
      <c r="H24" s="24">
        <f>IF(C24="","",IF(OR(E24="",F24="",COUNTIF(Familias!$B$8:$B$19,F24)=0),"Revisar","OK"))</f>
        <v/>
      </c>
    </row>
    <row r="25">
      <c r="B25" s="11" t="n"/>
      <c r="C25" s="6" t="n"/>
      <c r="D25" s="6" t="n"/>
      <c r="E25" s="36" t="n"/>
      <c r="F25" s="6" t="n"/>
      <c r="G25" s="34" t="n"/>
      <c r="H25" s="24">
        <f>IF(C25="","",IF(OR(E25="",F25="",COUNTIF(Familias!$B$8:$B$19,F25)=0),"Revisar","OK"))</f>
        <v/>
      </c>
    </row>
    <row r="26">
      <c r="B26" s="11" t="n"/>
      <c r="C26" s="6" t="n"/>
      <c r="D26" s="6" t="n"/>
      <c r="E26" s="36" t="n"/>
      <c r="F26" s="6" t="n"/>
      <c r="G26" s="34" t="n"/>
      <c r="H26" s="24">
        <f>IF(C26="","",IF(OR(E26="",F26="",COUNTIF(Familias!$B$8:$B$19,F26)=0),"Revisar","OK"))</f>
        <v/>
      </c>
    </row>
    <row r="27">
      <c r="B27" s="11" t="n"/>
      <c r="C27" s="6" t="n"/>
      <c r="D27" s="6" t="n"/>
      <c r="E27" s="36" t="n"/>
      <c r="F27" s="6" t="n"/>
      <c r="G27" s="34" t="n"/>
      <c r="H27" s="24">
        <f>IF(C27="","",IF(OR(E27="",F27="",COUNTIF(Familias!$B$8:$B$19,F27)=0),"Revisar","OK"))</f>
        <v/>
      </c>
    </row>
    <row r="28">
      <c r="B28" s="11" t="n"/>
      <c r="C28" s="6" t="n"/>
      <c r="D28" s="6" t="n"/>
      <c r="E28" s="36" t="n"/>
      <c r="F28" s="6" t="n"/>
      <c r="G28" s="34" t="n"/>
      <c r="H28" s="24">
        <f>IF(C28="","",IF(OR(E28="",F28="",COUNTIF(Familias!$B$8:$B$19,F28)=0),"Revisar","OK"))</f>
        <v/>
      </c>
    </row>
    <row r="29">
      <c r="B29" s="11" t="n"/>
      <c r="C29" s="6" t="n"/>
      <c r="D29" s="6" t="n"/>
      <c r="E29" s="36" t="n"/>
      <c r="F29" s="6" t="n"/>
      <c r="G29" s="34" t="n"/>
      <c r="H29" s="24">
        <f>IF(C29="","",IF(OR(E29="",F29="",COUNTIF(Familias!$B$8:$B$19,F29)=0),"Revisar","OK"))</f>
        <v/>
      </c>
    </row>
    <row r="30">
      <c r="B30" s="11" t="n"/>
      <c r="C30" s="6" t="n"/>
      <c r="D30" s="6" t="n"/>
      <c r="E30" s="36" t="n"/>
      <c r="F30" s="6" t="n"/>
      <c r="G30" s="34" t="n"/>
      <c r="H30" s="24">
        <f>IF(C30="","",IF(OR(E30="",F30="",COUNTIF(Familias!$B$8:$B$19,F30)=0),"Revisar","OK"))</f>
        <v/>
      </c>
    </row>
    <row r="31">
      <c r="B31" s="11" t="n"/>
      <c r="C31" s="6" t="n"/>
      <c r="D31" s="6" t="n"/>
      <c r="E31" s="36" t="n"/>
      <c r="F31" s="6" t="n"/>
      <c r="G31" s="34" t="n"/>
      <c r="H31" s="24">
        <f>IF(C31="","",IF(OR(E31="",F31="",COUNTIF(Familias!$B$8:$B$19,F31)=0),"Revisar","OK"))</f>
        <v/>
      </c>
    </row>
    <row r="32">
      <c r="B32" s="11" t="n"/>
      <c r="C32" s="6" t="n"/>
      <c r="D32" s="6" t="n"/>
      <c r="E32" s="36" t="n"/>
      <c r="F32" s="6" t="n"/>
      <c r="G32" s="34" t="n"/>
      <c r="H32" s="24">
        <f>IF(C32="","",IF(OR(E32="",F32="",COUNTIF(Familias!$B$8:$B$19,F32)=0),"Revisar","OK"))</f>
        <v/>
      </c>
    </row>
    <row r="33">
      <c r="B33" s="11" t="n"/>
      <c r="C33" s="6" t="n"/>
      <c r="D33" s="6" t="n"/>
      <c r="E33" s="36" t="n"/>
      <c r="F33" s="6" t="n"/>
      <c r="G33" s="34" t="n"/>
      <c r="H33" s="24">
        <f>IF(C33="","",IF(OR(E33="",F33="",COUNTIF(Familias!$B$8:$B$19,F33)=0),"Revisar","OK"))</f>
        <v/>
      </c>
    </row>
    <row r="34">
      <c r="B34" s="11" t="n"/>
      <c r="C34" s="6" t="n"/>
      <c r="D34" s="6" t="n"/>
      <c r="E34" s="36" t="n"/>
      <c r="F34" s="6" t="n"/>
      <c r="G34" s="34" t="n"/>
      <c r="H34" s="24">
        <f>IF(C34="","",IF(OR(E34="",F34="",COUNTIF(Familias!$B$8:$B$19,F34)=0),"Revisar","OK"))</f>
        <v/>
      </c>
    </row>
    <row r="35">
      <c r="B35" s="11" t="n"/>
      <c r="C35" s="6" t="n"/>
      <c r="D35" s="6" t="n"/>
      <c r="E35" s="36" t="n"/>
      <c r="F35" s="6" t="n"/>
      <c r="G35" s="34" t="n"/>
      <c r="H35" s="24">
        <f>IF(C35="","",IF(OR(E35="",F35="",COUNTIF(Familias!$B$8:$B$19,F35)=0),"Revisar","OK"))</f>
        <v/>
      </c>
    </row>
    <row r="36">
      <c r="B36" s="11" t="n"/>
      <c r="C36" s="6" t="n"/>
      <c r="D36" s="6" t="n"/>
      <c r="E36" s="36" t="n"/>
      <c r="F36" s="6" t="n"/>
      <c r="G36" s="34" t="n"/>
      <c r="H36" s="24">
        <f>IF(C36="","",IF(OR(E36="",F36="",COUNTIF(Familias!$B$8:$B$19,F36)=0),"Revisar","OK"))</f>
        <v/>
      </c>
    </row>
    <row r="37">
      <c r="B37" s="11" t="n"/>
      <c r="C37" s="6" t="n"/>
      <c r="D37" s="6" t="n"/>
      <c r="E37" s="36" t="n"/>
      <c r="F37" s="6" t="n"/>
      <c r="G37" s="34" t="n"/>
      <c r="H37" s="24">
        <f>IF(C37="","",IF(OR(E37="",F37="",COUNTIF(Familias!$B$8:$B$19,F37)=0),"Revisar","OK"))</f>
        <v/>
      </c>
    </row>
    <row r="38">
      <c r="B38" s="11" t="n"/>
      <c r="C38" s="6" t="n"/>
      <c r="D38" s="6" t="n"/>
      <c r="E38" s="36" t="n"/>
      <c r="F38" s="6" t="n"/>
      <c r="G38" s="34" t="n"/>
      <c r="H38" s="24">
        <f>IF(C38="","",IF(OR(E38="",F38="",COUNTIF(Familias!$B$8:$B$19,F38)=0),"Revisar","OK"))</f>
        <v/>
      </c>
    </row>
    <row r="39">
      <c r="B39" s="11" t="n"/>
      <c r="C39" s="6" t="n"/>
      <c r="D39" s="6" t="n"/>
      <c r="E39" s="36" t="n"/>
      <c r="F39" s="6" t="n"/>
      <c r="G39" s="34" t="n"/>
      <c r="H39" s="24">
        <f>IF(C39="","",IF(OR(E39="",F39="",COUNTIF(Familias!$B$8:$B$19,F39)=0),"Revisar","OK"))</f>
        <v/>
      </c>
    </row>
    <row r="40">
      <c r="B40" s="11" t="n"/>
      <c r="C40" s="6" t="n"/>
      <c r="D40" s="6" t="n"/>
      <c r="E40" s="36" t="n"/>
      <c r="F40" s="6" t="n"/>
      <c r="G40" s="34" t="n"/>
      <c r="H40" s="24">
        <f>IF(C40="","",IF(OR(E40="",F40="",COUNTIF(Familias!$B$8:$B$19,F40)=0),"Revisar","OK"))</f>
        <v/>
      </c>
    </row>
    <row r="41">
      <c r="B41" s="11" t="n"/>
      <c r="C41" s="6" t="n"/>
      <c r="D41" s="6" t="n"/>
      <c r="E41" s="36" t="n"/>
      <c r="F41" s="6" t="n"/>
      <c r="G41" s="34" t="n"/>
      <c r="H41" s="24">
        <f>IF(C41="","",IF(OR(E41="",F41="",COUNTIF(Familias!$B$8:$B$19,F41)=0),"Revisar","OK"))</f>
        <v/>
      </c>
    </row>
    <row r="42">
      <c r="B42" s="11" t="n"/>
      <c r="C42" s="6" t="n"/>
      <c r="D42" s="6" t="n"/>
      <c r="E42" s="36" t="n"/>
      <c r="F42" s="6" t="n"/>
      <c r="G42" s="34" t="n"/>
      <c r="H42" s="24">
        <f>IF(C42="","",IF(OR(E42="",F42="",COUNTIF(Familias!$B$8:$B$19,F42)=0),"Revisar","OK"))</f>
        <v/>
      </c>
    </row>
    <row r="43">
      <c r="B43" s="11" t="n"/>
      <c r="C43" s="6" t="n"/>
      <c r="D43" s="6" t="n"/>
      <c r="E43" s="36" t="n"/>
      <c r="F43" s="6" t="n"/>
      <c r="G43" s="34" t="n"/>
      <c r="H43" s="24">
        <f>IF(C43="","",IF(OR(E43="",F43="",COUNTIF(Familias!$B$8:$B$19,F43)=0),"Revisar","OK"))</f>
        <v/>
      </c>
    </row>
    <row r="44">
      <c r="B44" s="11" t="n"/>
      <c r="C44" s="6" t="n"/>
      <c r="D44" s="6" t="n"/>
      <c r="E44" s="36" t="n"/>
      <c r="F44" s="6" t="n"/>
      <c r="G44" s="34" t="n"/>
      <c r="H44" s="24">
        <f>IF(C44="","",IF(OR(E44="",F44="",COUNTIF(Familias!$B$8:$B$19,F44)=0),"Revisar","OK"))</f>
        <v/>
      </c>
    </row>
    <row r="45">
      <c r="B45" s="11" t="n"/>
      <c r="C45" s="6" t="n"/>
      <c r="D45" s="6" t="n"/>
      <c r="E45" s="36" t="n"/>
      <c r="F45" s="6" t="n"/>
      <c r="G45" s="34" t="n"/>
      <c r="H45" s="24">
        <f>IF(C45="","",IF(OR(E45="",F45="",COUNTIF(Familias!$B$8:$B$19,F45)=0),"Revisar","OK"))</f>
        <v/>
      </c>
    </row>
    <row r="46">
      <c r="B46" s="11" t="n"/>
      <c r="C46" s="6" t="n"/>
      <c r="D46" s="6" t="n"/>
      <c r="E46" s="36" t="n"/>
      <c r="F46" s="6" t="n"/>
      <c r="G46" s="34" t="n"/>
      <c r="H46" s="24">
        <f>IF(C46="","",IF(OR(E46="",F46="",COUNTIF(Familias!$B$8:$B$19,F46)=0),"Revisar","OK"))</f>
        <v/>
      </c>
    </row>
    <row r="47">
      <c r="B47" s="11" t="n"/>
      <c r="C47" s="6" t="n"/>
      <c r="D47" s="6" t="n"/>
      <c r="E47" s="36" t="n"/>
      <c r="F47" s="6" t="n"/>
      <c r="G47" s="34" t="n"/>
      <c r="H47" s="24">
        <f>IF(C47="","",IF(OR(E47="",F47="",COUNTIF(Familias!$B$8:$B$19,F47)=0),"Revisar","OK"))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H8:H47">
    <cfRule type="cellIs" priority="1" operator="equal" dxfId="2">
      <formula>"Revisar"</formula>
    </cfRule>
    <cfRule type="cellIs" priority="2" operator="equal" dxfId="0">
      <formula>"OK"</formula>
    </cfRule>
  </conditionalFormatting>
  <dataValidations count="3">
    <dataValidation sqref="D8:D47" showDropDown="0" showInputMessage="0" showErrorMessage="0" allowBlank="1" type="list">
      <formula1>=Listas!$A$2:$A$7</formula1>
    </dataValidation>
    <dataValidation sqref="F8:F47" showDropDown="0" showInputMessage="0" showErrorMessage="0" allowBlank="1" type="list">
      <formula1>=Familias!$B$8:$B$19</formula1>
    </dataValidation>
    <dataValidation sqref="G8:G47" showDropDown="0" showInputMessage="0" showErrorMessage="0" allowBlank="1" type="list">
      <formula1>=Listas!$B$2:$B$3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Y22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13" customWidth="1" min="3" max="3"/>
    <col width="13" customWidth="1" min="4" max="4"/>
    <col width="13" customWidth="1" min="5" max="5"/>
    <col width="10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4" customWidth="1" min="20" max="20"/>
    <col width="3" customWidth="1" min="21" max="21"/>
    <col width="12" customWidth="1" min="22" max="22"/>
    <col width="12" customWidth="1" min="23" max="23"/>
    <col width="12" customWidth="1" min="24" max="24"/>
    <col width="12" customWidth="1" min="25" max="25"/>
  </cols>
  <sheetData>
    <row r="2" ht="34" customHeight="1">
      <c r="B2" s="1" t="inlineStr">
        <is>
          <t>Liquidación: quién debe a quién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>
      <c r="B3" s="3" t="inlineStr">
        <is>
          <t>Cada fila es una familia que paga; cada columna, la familia que cobra. Con pocos pagos se queda todo saldado.</t>
        </is>
      </c>
    </row>
    <row r="5">
      <c r="B5" s="30" t="inlineStr">
        <is>
          <t>TOTALES</t>
        </is>
      </c>
      <c r="C5" s="26">
        <f>ROUND(SUM(C8:C19),2)</f>
        <v/>
      </c>
      <c r="D5" s="26">
        <f>SUM(D8:D19)</f>
        <v/>
      </c>
      <c r="E5" s="26">
        <f>SUM(E8:E19)</f>
        <v/>
      </c>
      <c r="F5" s="28">
        <f>COUNTIF(H8:S19,"&gt;0")</f>
        <v/>
      </c>
    </row>
    <row r="6">
      <c r="H6" s="37" t="inlineStr">
        <is>
          <t>PAGA A →  (cada columna es la familia que cobra)</t>
        </is>
      </c>
    </row>
    <row r="7" ht="34" customHeight="1">
      <c r="B7" s="10" t="inlineStr">
        <is>
          <t>Familia</t>
        </is>
      </c>
      <c r="C7" s="10" t="inlineStr">
        <is>
          <t>Saldo</t>
        </is>
      </c>
      <c r="D7" s="10" t="inlineStr">
        <is>
          <t>Debe pagar</t>
        </is>
      </c>
      <c r="E7" s="10" t="inlineStr">
        <is>
          <t>A cobrar</t>
        </is>
      </c>
      <c r="F7" s="10" t="inlineStr">
        <is>
          <t>Nº de pagos</t>
        </is>
      </c>
      <c r="H7" s="10">
        <f>IF(Familias!$B$8="","",Familias!$B$8)</f>
        <v/>
      </c>
      <c r="I7" s="10">
        <f>IF(Familias!$B$9="","",Familias!$B$9)</f>
        <v/>
      </c>
      <c r="J7" s="10">
        <f>IF(Familias!$B$10="","",Familias!$B$10)</f>
        <v/>
      </c>
      <c r="K7" s="10">
        <f>IF(Familias!$B$11="","",Familias!$B$11)</f>
        <v/>
      </c>
      <c r="L7" s="10">
        <f>IF(Familias!$B$12="","",Familias!$B$12)</f>
        <v/>
      </c>
      <c r="M7" s="10">
        <f>IF(Familias!$B$13="","",Familias!$B$13)</f>
        <v/>
      </c>
      <c r="N7" s="10">
        <f>IF(Familias!$B$14="","",Familias!$B$14)</f>
        <v/>
      </c>
      <c r="O7" s="10">
        <f>IF(Familias!$B$15="","",Familias!$B$15)</f>
        <v/>
      </c>
      <c r="P7" s="10">
        <f>IF(Familias!$B$16="","",Familias!$B$16)</f>
        <v/>
      </c>
      <c r="Q7" s="10">
        <f>IF(Familias!$B$17="","",Familias!$B$17)</f>
        <v/>
      </c>
      <c r="R7" s="10">
        <f>IF(Familias!$B$18="","",Familias!$B$18)</f>
        <v/>
      </c>
      <c r="S7" s="10">
        <f>IF(Familias!$B$19="","",Familias!$B$19)</f>
        <v/>
      </c>
      <c r="T7" s="10" t="inlineStr">
        <is>
          <t>Total que paga</t>
        </is>
      </c>
      <c r="V7" s="10" t="inlineStr">
        <is>
          <t>Aux: deuda acum.</t>
        </is>
      </c>
      <c r="W7" s="10" t="inlineStr">
        <is>
          <t>Aux: deuda inicio</t>
        </is>
      </c>
      <c r="X7" s="10" t="inlineStr">
        <is>
          <t>Aux: cobro acum.</t>
        </is>
      </c>
      <c r="Y7" s="10" t="inlineStr">
        <is>
          <t>Aux: cobro inicio</t>
        </is>
      </c>
    </row>
    <row r="8">
      <c r="B8" s="38">
        <f>IF(Familias!B8="","",Familias!B8)</f>
        <v/>
      </c>
      <c r="C8" s="39">
        <f>IF(Familias!B8="",0,N(Familias!L8))</f>
        <v/>
      </c>
      <c r="D8" s="39">
        <f>MAX(-C8,0)</f>
        <v/>
      </c>
      <c r="E8" s="39">
        <f>MAX(C8,0)</f>
        <v/>
      </c>
      <c r="F8" s="23">
        <f>IF(B8="","",COUNTIF(H8:S8,"&gt;0"))</f>
        <v/>
      </c>
      <c r="H8" s="39">
        <f>ROUND(MAX(0,MIN($V8,INDEX($X$8:$X$19,1))-MAX($W8,INDEX($Y$8:$Y$19,1))),2)</f>
        <v/>
      </c>
      <c r="I8" s="39">
        <f>ROUND(MAX(0,MIN($V8,INDEX($X$8:$X$19,2))-MAX($W8,INDEX($Y$8:$Y$19,2))),2)</f>
        <v/>
      </c>
      <c r="J8" s="39">
        <f>ROUND(MAX(0,MIN($V8,INDEX($X$8:$X$19,3))-MAX($W8,INDEX($Y$8:$Y$19,3))),2)</f>
        <v/>
      </c>
      <c r="K8" s="39">
        <f>ROUND(MAX(0,MIN($V8,INDEX($X$8:$X$19,4))-MAX($W8,INDEX($Y$8:$Y$19,4))),2)</f>
        <v/>
      </c>
      <c r="L8" s="39">
        <f>ROUND(MAX(0,MIN($V8,INDEX($X$8:$X$19,5))-MAX($W8,INDEX($Y$8:$Y$19,5))),2)</f>
        <v/>
      </c>
      <c r="M8" s="39">
        <f>ROUND(MAX(0,MIN($V8,INDEX($X$8:$X$19,6))-MAX($W8,INDEX($Y$8:$Y$19,6))),2)</f>
        <v/>
      </c>
      <c r="N8" s="39">
        <f>ROUND(MAX(0,MIN($V8,INDEX($X$8:$X$19,7))-MAX($W8,INDEX($Y$8:$Y$19,7))),2)</f>
        <v/>
      </c>
      <c r="O8" s="39">
        <f>ROUND(MAX(0,MIN($V8,INDEX($X$8:$X$19,8))-MAX($W8,INDEX($Y$8:$Y$19,8))),2)</f>
        <v/>
      </c>
      <c r="P8" s="39">
        <f>ROUND(MAX(0,MIN($V8,INDEX($X$8:$X$19,9))-MAX($W8,INDEX($Y$8:$Y$19,9))),2)</f>
        <v/>
      </c>
      <c r="Q8" s="39">
        <f>ROUND(MAX(0,MIN($V8,INDEX($X$8:$X$19,10))-MAX($W8,INDEX($Y$8:$Y$19,10))),2)</f>
        <v/>
      </c>
      <c r="R8" s="39">
        <f>ROUND(MAX(0,MIN($V8,INDEX($X$8:$X$19,11))-MAX($W8,INDEX($Y$8:$Y$19,11))),2)</f>
        <v/>
      </c>
      <c r="S8" s="39">
        <f>ROUND(MAX(0,MIN($V8,INDEX($X$8:$X$19,12))-MAX($W8,INDEX($Y$8:$Y$19,12))),2)</f>
        <v/>
      </c>
      <c r="T8" s="40">
        <f>SUM(H8:S8)</f>
        <v/>
      </c>
      <c r="V8" s="39">
        <f>SUM(D$8:D8)</f>
        <v/>
      </c>
      <c r="W8" s="39">
        <f>V8-D8</f>
        <v/>
      </c>
      <c r="X8" s="39">
        <f>SUM(E$8:E8)</f>
        <v/>
      </c>
      <c r="Y8" s="39">
        <f>X8-E8</f>
        <v/>
      </c>
    </row>
    <row r="9">
      <c r="B9" s="38">
        <f>IF(Familias!B9="","",Familias!B9)</f>
        <v/>
      </c>
      <c r="C9" s="39">
        <f>IF(Familias!B9="",0,N(Familias!L9))</f>
        <v/>
      </c>
      <c r="D9" s="39">
        <f>MAX(-C9,0)</f>
        <v/>
      </c>
      <c r="E9" s="39">
        <f>MAX(C9,0)</f>
        <v/>
      </c>
      <c r="F9" s="23">
        <f>IF(B9="","",COUNTIF(H9:S9,"&gt;0"))</f>
        <v/>
      </c>
      <c r="H9" s="39">
        <f>ROUND(MAX(0,MIN($V9,INDEX($X$8:$X$19,1))-MAX($W9,INDEX($Y$8:$Y$19,1))),2)</f>
        <v/>
      </c>
      <c r="I9" s="39">
        <f>ROUND(MAX(0,MIN($V9,INDEX($X$8:$X$19,2))-MAX($W9,INDEX($Y$8:$Y$19,2))),2)</f>
        <v/>
      </c>
      <c r="J9" s="39">
        <f>ROUND(MAX(0,MIN($V9,INDEX($X$8:$X$19,3))-MAX($W9,INDEX($Y$8:$Y$19,3))),2)</f>
        <v/>
      </c>
      <c r="K9" s="39">
        <f>ROUND(MAX(0,MIN($V9,INDEX($X$8:$X$19,4))-MAX($W9,INDEX($Y$8:$Y$19,4))),2)</f>
        <v/>
      </c>
      <c r="L9" s="39">
        <f>ROUND(MAX(0,MIN($V9,INDEX($X$8:$X$19,5))-MAX($W9,INDEX($Y$8:$Y$19,5))),2)</f>
        <v/>
      </c>
      <c r="M9" s="39">
        <f>ROUND(MAX(0,MIN($V9,INDEX($X$8:$X$19,6))-MAX($W9,INDEX($Y$8:$Y$19,6))),2)</f>
        <v/>
      </c>
      <c r="N9" s="39">
        <f>ROUND(MAX(0,MIN($V9,INDEX($X$8:$X$19,7))-MAX($W9,INDEX($Y$8:$Y$19,7))),2)</f>
        <v/>
      </c>
      <c r="O9" s="39">
        <f>ROUND(MAX(0,MIN($V9,INDEX($X$8:$X$19,8))-MAX($W9,INDEX($Y$8:$Y$19,8))),2)</f>
        <v/>
      </c>
      <c r="P9" s="39">
        <f>ROUND(MAX(0,MIN($V9,INDEX($X$8:$X$19,9))-MAX($W9,INDEX($Y$8:$Y$19,9))),2)</f>
        <v/>
      </c>
      <c r="Q9" s="39">
        <f>ROUND(MAX(0,MIN($V9,INDEX($X$8:$X$19,10))-MAX($W9,INDEX($Y$8:$Y$19,10))),2)</f>
        <v/>
      </c>
      <c r="R9" s="39">
        <f>ROUND(MAX(0,MIN($V9,INDEX($X$8:$X$19,11))-MAX($W9,INDEX($Y$8:$Y$19,11))),2)</f>
        <v/>
      </c>
      <c r="S9" s="39">
        <f>ROUND(MAX(0,MIN($V9,INDEX($X$8:$X$19,12))-MAX($W9,INDEX($Y$8:$Y$19,12))),2)</f>
        <v/>
      </c>
      <c r="T9" s="40">
        <f>SUM(H9:S9)</f>
        <v/>
      </c>
      <c r="V9" s="39">
        <f>SUM(D$8:D9)</f>
        <v/>
      </c>
      <c r="W9" s="39">
        <f>V9-D9</f>
        <v/>
      </c>
      <c r="X9" s="39">
        <f>SUM(E$8:E9)</f>
        <v/>
      </c>
      <c r="Y9" s="39">
        <f>X9-E9</f>
        <v/>
      </c>
    </row>
    <row r="10">
      <c r="B10" s="38">
        <f>IF(Familias!B10="","",Familias!B10)</f>
        <v/>
      </c>
      <c r="C10" s="39">
        <f>IF(Familias!B10="",0,N(Familias!L10))</f>
        <v/>
      </c>
      <c r="D10" s="39">
        <f>MAX(-C10,0)</f>
        <v/>
      </c>
      <c r="E10" s="39">
        <f>MAX(C10,0)</f>
        <v/>
      </c>
      <c r="F10" s="23">
        <f>IF(B10="","",COUNTIF(H10:S10,"&gt;0"))</f>
        <v/>
      </c>
      <c r="H10" s="39">
        <f>ROUND(MAX(0,MIN($V10,INDEX($X$8:$X$19,1))-MAX($W10,INDEX($Y$8:$Y$19,1))),2)</f>
        <v/>
      </c>
      <c r="I10" s="39">
        <f>ROUND(MAX(0,MIN($V10,INDEX($X$8:$X$19,2))-MAX($W10,INDEX($Y$8:$Y$19,2))),2)</f>
        <v/>
      </c>
      <c r="J10" s="39">
        <f>ROUND(MAX(0,MIN($V10,INDEX($X$8:$X$19,3))-MAX($W10,INDEX($Y$8:$Y$19,3))),2)</f>
        <v/>
      </c>
      <c r="K10" s="39">
        <f>ROUND(MAX(0,MIN($V10,INDEX($X$8:$X$19,4))-MAX($W10,INDEX($Y$8:$Y$19,4))),2)</f>
        <v/>
      </c>
      <c r="L10" s="39">
        <f>ROUND(MAX(0,MIN($V10,INDEX($X$8:$X$19,5))-MAX($W10,INDEX($Y$8:$Y$19,5))),2)</f>
        <v/>
      </c>
      <c r="M10" s="39">
        <f>ROUND(MAX(0,MIN($V10,INDEX($X$8:$X$19,6))-MAX($W10,INDEX($Y$8:$Y$19,6))),2)</f>
        <v/>
      </c>
      <c r="N10" s="39">
        <f>ROUND(MAX(0,MIN($V10,INDEX($X$8:$X$19,7))-MAX($W10,INDEX($Y$8:$Y$19,7))),2)</f>
        <v/>
      </c>
      <c r="O10" s="39">
        <f>ROUND(MAX(0,MIN($V10,INDEX($X$8:$X$19,8))-MAX($W10,INDEX($Y$8:$Y$19,8))),2)</f>
        <v/>
      </c>
      <c r="P10" s="39">
        <f>ROUND(MAX(0,MIN($V10,INDEX($X$8:$X$19,9))-MAX($W10,INDEX($Y$8:$Y$19,9))),2)</f>
        <v/>
      </c>
      <c r="Q10" s="39">
        <f>ROUND(MAX(0,MIN($V10,INDEX($X$8:$X$19,10))-MAX($W10,INDEX($Y$8:$Y$19,10))),2)</f>
        <v/>
      </c>
      <c r="R10" s="39">
        <f>ROUND(MAX(0,MIN($V10,INDEX($X$8:$X$19,11))-MAX($W10,INDEX($Y$8:$Y$19,11))),2)</f>
        <v/>
      </c>
      <c r="S10" s="39">
        <f>ROUND(MAX(0,MIN($V10,INDEX($X$8:$X$19,12))-MAX($W10,INDEX($Y$8:$Y$19,12))),2)</f>
        <v/>
      </c>
      <c r="T10" s="40">
        <f>SUM(H10:S10)</f>
        <v/>
      </c>
      <c r="V10" s="39">
        <f>SUM(D$8:D10)</f>
        <v/>
      </c>
      <c r="W10" s="39">
        <f>V10-D10</f>
        <v/>
      </c>
      <c r="X10" s="39">
        <f>SUM(E$8:E10)</f>
        <v/>
      </c>
      <c r="Y10" s="39">
        <f>X10-E10</f>
        <v/>
      </c>
    </row>
    <row r="11">
      <c r="B11" s="38">
        <f>IF(Familias!B11="","",Familias!B11)</f>
        <v/>
      </c>
      <c r="C11" s="39">
        <f>IF(Familias!B11="",0,N(Familias!L11))</f>
        <v/>
      </c>
      <c r="D11" s="39">
        <f>MAX(-C11,0)</f>
        <v/>
      </c>
      <c r="E11" s="39">
        <f>MAX(C11,0)</f>
        <v/>
      </c>
      <c r="F11" s="23">
        <f>IF(B11="","",COUNTIF(H11:S11,"&gt;0"))</f>
        <v/>
      </c>
      <c r="H11" s="39">
        <f>ROUND(MAX(0,MIN($V11,INDEX($X$8:$X$19,1))-MAX($W11,INDEX($Y$8:$Y$19,1))),2)</f>
        <v/>
      </c>
      <c r="I11" s="39">
        <f>ROUND(MAX(0,MIN($V11,INDEX($X$8:$X$19,2))-MAX($W11,INDEX($Y$8:$Y$19,2))),2)</f>
        <v/>
      </c>
      <c r="J11" s="39">
        <f>ROUND(MAX(0,MIN($V11,INDEX($X$8:$X$19,3))-MAX($W11,INDEX($Y$8:$Y$19,3))),2)</f>
        <v/>
      </c>
      <c r="K11" s="39">
        <f>ROUND(MAX(0,MIN($V11,INDEX($X$8:$X$19,4))-MAX($W11,INDEX($Y$8:$Y$19,4))),2)</f>
        <v/>
      </c>
      <c r="L11" s="39">
        <f>ROUND(MAX(0,MIN($V11,INDEX($X$8:$X$19,5))-MAX($W11,INDEX($Y$8:$Y$19,5))),2)</f>
        <v/>
      </c>
      <c r="M11" s="39">
        <f>ROUND(MAX(0,MIN($V11,INDEX($X$8:$X$19,6))-MAX($W11,INDEX($Y$8:$Y$19,6))),2)</f>
        <v/>
      </c>
      <c r="N11" s="39">
        <f>ROUND(MAX(0,MIN($V11,INDEX($X$8:$X$19,7))-MAX($W11,INDEX($Y$8:$Y$19,7))),2)</f>
        <v/>
      </c>
      <c r="O11" s="39">
        <f>ROUND(MAX(0,MIN($V11,INDEX($X$8:$X$19,8))-MAX($W11,INDEX($Y$8:$Y$19,8))),2)</f>
        <v/>
      </c>
      <c r="P11" s="39">
        <f>ROUND(MAX(0,MIN($V11,INDEX($X$8:$X$19,9))-MAX($W11,INDEX($Y$8:$Y$19,9))),2)</f>
        <v/>
      </c>
      <c r="Q11" s="39">
        <f>ROUND(MAX(0,MIN($V11,INDEX($X$8:$X$19,10))-MAX($W11,INDEX($Y$8:$Y$19,10))),2)</f>
        <v/>
      </c>
      <c r="R11" s="39">
        <f>ROUND(MAX(0,MIN($V11,INDEX($X$8:$X$19,11))-MAX($W11,INDEX($Y$8:$Y$19,11))),2)</f>
        <v/>
      </c>
      <c r="S11" s="39">
        <f>ROUND(MAX(0,MIN($V11,INDEX($X$8:$X$19,12))-MAX($W11,INDEX($Y$8:$Y$19,12))),2)</f>
        <v/>
      </c>
      <c r="T11" s="40">
        <f>SUM(H11:S11)</f>
        <v/>
      </c>
      <c r="V11" s="39">
        <f>SUM(D$8:D11)</f>
        <v/>
      </c>
      <c r="W11" s="39">
        <f>V11-D11</f>
        <v/>
      </c>
      <c r="X11" s="39">
        <f>SUM(E$8:E11)</f>
        <v/>
      </c>
      <c r="Y11" s="39">
        <f>X11-E11</f>
        <v/>
      </c>
    </row>
    <row r="12">
      <c r="B12" s="38">
        <f>IF(Familias!B12="","",Familias!B12)</f>
        <v/>
      </c>
      <c r="C12" s="39">
        <f>IF(Familias!B12="",0,N(Familias!L12))</f>
        <v/>
      </c>
      <c r="D12" s="39">
        <f>MAX(-C12,0)</f>
        <v/>
      </c>
      <c r="E12" s="39">
        <f>MAX(C12,0)</f>
        <v/>
      </c>
      <c r="F12" s="23">
        <f>IF(B12="","",COUNTIF(H12:S12,"&gt;0"))</f>
        <v/>
      </c>
      <c r="H12" s="39">
        <f>ROUND(MAX(0,MIN($V12,INDEX($X$8:$X$19,1))-MAX($W12,INDEX($Y$8:$Y$19,1))),2)</f>
        <v/>
      </c>
      <c r="I12" s="39">
        <f>ROUND(MAX(0,MIN($V12,INDEX($X$8:$X$19,2))-MAX($W12,INDEX($Y$8:$Y$19,2))),2)</f>
        <v/>
      </c>
      <c r="J12" s="39">
        <f>ROUND(MAX(0,MIN($V12,INDEX($X$8:$X$19,3))-MAX($W12,INDEX($Y$8:$Y$19,3))),2)</f>
        <v/>
      </c>
      <c r="K12" s="39">
        <f>ROUND(MAX(0,MIN($V12,INDEX($X$8:$X$19,4))-MAX($W12,INDEX($Y$8:$Y$19,4))),2)</f>
        <v/>
      </c>
      <c r="L12" s="39">
        <f>ROUND(MAX(0,MIN($V12,INDEX($X$8:$X$19,5))-MAX($W12,INDEX($Y$8:$Y$19,5))),2)</f>
        <v/>
      </c>
      <c r="M12" s="39">
        <f>ROUND(MAX(0,MIN($V12,INDEX($X$8:$X$19,6))-MAX($W12,INDEX($Y$8:$Y$19,6))),2)</f>
        <v/>
      </c>
      <c r="N12" s="39">
        <f>ROUND(MAX(0,MIN($V12,INDEX($X$8:$X$19,7))-MAX($W12,INDEX($Y$8:$Y$19,7))),2)</f>
        <v/>
      </c>
      <c r="O12" s="39">
        <f>ROUND(MAX(0,MIN($V12,INDEX($X$8:$X$19,8))-MAX($W12,INDEX($Y$8:$Y$19,8))),2)</f>
        <v/>
      </c>
      <c r="P12" s="39">
        <f>ROUND(MAX(0,MIN($V12,INDEX($X$8:$X$19,9))-MAX($W12,INDEX($Y$8:$Y$19,9))),2)</f>
        <v/>
      </c>
      <c r="Q12" s="39">
        <f>ROUND(MAX(0,MIN($V12,INDEX($X$8:$X$19,10))-MAX($W12,INDEX($Y$8:$Y$19,10))),2)</f>
        <v/>
      </c>
      <c r="R12" s="39">
        <f>ROUND(MAX(0,MIN($V12,INDEX($X$8:$X$19,11))-MAX($W12,INDEX($Y$8:$Y$19,11))),2)</f>
        <v/>
      </c>
      <c r="S12" s="39">
        <f>ROUND(MAX(0,MIN($V12,INDEX($X$8:$X$19,12))-MAX($W12,INDEX($Y$8:$Y$19,12))),2)</f>
        <v/>
      </c>
      <c r="T12" s="40">
        <f>SUM(H12:S12)</f>
        <v/>
      </c>
      <c r="V12" s="39">
        <f>SUM(D$8:D12)</f>
        <v/>
      </c>
      <c r="W12" s="39">
        <f>V12-D12</f>
        <v/>
      </c>
      <c r="X12" s="39">
        <f>SUM(E$8:E12)</f>
        <v/>
      </c>
      <c r="Y12" s="39">
        <f>X12-E12</f>
        <v/>
      </c>
    </row>
    <row r="13">
      <c r="B13" s="38">
        <f>IF(Familias!B13="","",Familias!B13)</f>
        <v/>
      </c>
      <c r="C13" s="39">
        <f>IF(Familias!B13="",0,N(Familias!L13))</f>
        <v/>
      </c>
      <c r="D13" s="39">
        <f>MAX(-C13,0)</f>
        <v/>
      </c>
      <c r="E13" s="39">
        <f>MAX(C13,0)</f>
        <v/>
      </c>
      <c r="F13" s="23">
        <f>IF(B13="","",COUNTIF(H13:S13,"&gt;0"))</f>
        <v/>
      </c>
      <c r="H13" s="39">
        <f>ROUND(MAX(0,MIN($V13,INDEX($X$8:$X$19,1))-MAX($W13,INDEX($Y$8:$Y$19,1))),2)</f>
        <v/>
      </c>
      <c r="I13" s="39">
        <f>ROUND(MAX(0,MIN($V13,INDEX($X$8:$X$19,2))-MAX($W13,INDEX($Y$8:$Y$19,2))),2)</f>
        <v/>
      </c>
      <c r="J13" s="39">
        <f>ROUND(MAX(0,MIN($V13,INDEX($X$8:$X$19,3))-MAX($W13,INDEX($Y$8:$Y$19,3))),2)</f>
        <v/>
      </c>
      <c r="K13" s="39">
        <f>ROUND(MAX(0,MIN($V13,INDEX($X$8:$X$19,4))-MAX($W13,INDEX($Y$8:$Y$19,4))),2)</f>
        <v/>
      </c>
      <c r="L13" s="39">
        <f>ROUND(MAX(0,MIN($V13,INDEX($X$8:$X$19,5))-MAX($W13,INDEX($Y$8:$Y$19,5))),2)</f>
        <v/>
      </c>
      <c r="M13" s="39">
        <f>ROUND(MAX(0,MIN($V13,INDEX($X$8:$X$19,6))-MAX($W13,INDEX($Y$8:$Y$19,6))),2)</f>
        <v/>
      </c>
      <c r="N13" s="39">
        <f>ROUND(MAX(0,MIN($V13,INDEX($X$8:$X$19,7))-MAX($W13,INDEX($Y$8:$Y$19,7))),2)</f>
        <v/>
      </c>
      <c r="O13" s="39">
        <f>ROUND(MAX(0,MIN($V13,INDEX($X$8:$X$19,8))-MAX($W13,INDEX($Y$8:$Y$19,8))),2)</f>
        <v/>
      </c>
      <c r="P13" s="39">
        <f>ROUND(MAX(0,MIN($V13,INDEX($X$8:$X$19,9))-MAX($W13,INDEX($Y$8:$Y$19,9))),2)</f>
        <v/>
      </c>
      <c r="Q13" s="39">
        <f>ROUND(MAX(0,MIN($V13,INDEX($X$8:$X$19,10))-MAX($W13,INDEX($Y$8:$Y$19,10))),2)</f>
        <v/>
      </c>
      <c r="R13" s="39">
        <f>ROUND(MAX(0,MIN($V13,INDEX($X$8:$X$19,11))-MAX($W13,INDEX($Y$8:$Y$19,11))),2)</f>
        <v/>
      </c>
      <c r="S13" s="39">
        <f>ROUND(MAX(0,MIN($V13,INDEX($X$8:$X$19,12))-MAX($W13,INDEX($Y$8:$Y$19,12))),2)</f>
        <v/>
      </c>
      <c r="T13" s="40">
        <f>SUM(H13:S13)</f>
        <v/>
      </c>
      <c r="V13" s="39">
        <f>SUM(D$8:D13)</f>
        <v/>
      </c>
      <c r="W13" s="39">
        <f>V13-D13</f>
        <v/>
      </c>
      <c r="X13" s="39">
        <f>SUM(E$8:E13)</f>
        <v/>
      </c>
      <c r="Y13" s="39">
        <f>X13-E13</f>
        <v/>
      </c>
    </row>
    <row r="14">
      <c r="B14" s="38">
        <f>IF(Familias!B14="","",Familias!B14)</f>
        <v/>
      </c>
      <c r="C14" s="39">
        <f>IF(Familias!B14="",0,N(Familias!L14))</f>
        <v/>
      </c>
      <c r="D14" s="39">
        <f>MAX(-C14,0)</f>
        <v/>
      </c>
      <c r="E14" s="39">
        <f>MAX(C14,0)</f>
        <v/>
      </c>
      <c r="F14" s="23">
        <f>IF(B14="","",COUNTIF(H14:S14,"&gt;0"))</f>
        <v/>
      </c>
      <c r="H14" s="39">
        <f>ROUND(MAX(0,MIN($V14,INDEX($X$8:$X$19,1))-MAX($W14,INDEX($Y$8:$Y$19,1))),2)</f>
        <v/>
      </c>
      <c r="I14" s="39">
        <f>ROUND(MAX(0,MIN($V14,INDEX($X$8:$X$19,2))-MAX($W14,INDEX($Y$8:$Y$19,2))),2)</f>
        <v/>
      </c>
      <c r="J14" s="39">
        <f>ROUND(MAX(0,MIN($V14,INDEX($X$8:$X$19,3))-MAX($W14,INDEX($Y$8:$Y$19,3))),2)</f>
        <v/>
      </c>
      <c r="K14" s="39">
        <f>ROUND(MAX(0,MIN($V14,INDEX($X$8:$X$19,4))-MAX($W14,INDEX($Y$8:$Y$19,4))),2)</f>
        <v/>
      </c>
      <c r="L14" s="39">
        <f>ROUND(MAX(0,MIN($V14,INDEX($X$8:$X$19,5))-MAX($W14,INDEX($Y$8:$Y$19,5))),2)</f>
        <v/>
      </c>
      <c r="M14" s="39">
        <f>ROUND(MAX(0,MIN($V14,INDEX($X$8:$X$19,6))-MAX($W14,INDEX($Y$8:$Y$19,6))),2)</f>
        <v/>
      </c>
      <c r="N14" s="39">
        <f>ROUND(MAX(0,MIN($V14,INDEX($X$8:$X$19,7))-MAX($W14,INDEX($Y$8:$Y$19,7))),2)</f>
        <v/>
      </c>
      <c r="O14" s="39">
        <f>ROUND(MAX(0,MIN($V14,INDEX($X$8:$X$19,8))-MAX($W14,INDEX($Y$8:$Y$19,8))),2)</f>
        <v/>
      </c>
      <c r="P14" s="39">
        <f>ROUND(MAX(0,MIN($V14,INDEX($X$8:$X$19,9))-MAX($W14,INDEX($Y$8:$Y$19,9))),2)</f>
        <v/>
      </c>
      <c r="Q14" s="39">
        <f>ROUND(MAX(0,MIN($V14,INDEX($X$8:$X$19,10))-MAX($W14,INDEX($Y$8:$Y$19,10))),2)</f>
        <v/>
      </c>
      <c r="R14" s="39">
        <f>ROUND(MAX(0,MIN($V14,INDEX($X$8:$X$19,11))-MAX($W14,INDEX($Y$8:$Y$19,11))),2)</f>
        <v/>
      </c>
      <c r="S14" s="39">
        <f>ROUND(MAX(0,MIN($V14,INDEX($X$8:$X$19,12))-MAX($W14,INDEX($Y$8:$Y$19,12))),2)</f>
        <v/>
      </c>
      <c r="T14" s="40">
        <f>SUM(H14:S14)</f>
        <v/>
      </c>
      <c r="V14" s="39">
        <f>SUM(D$8:D14)</f>
        <v/>
      </c>
      <c r="W14" s="39">
        <f>V14-D14</f>
        <v/>
      </c>
      <c r="X14" s="39">
        <f>SUM(E$8:E14)</f>
        <v/>
      </c>
      <c r="Y14" s="39">
        <f>X14-E14</f>
        <v/>
      </c>
    </row>
    <row r="15">
      <c r="B15" s="38">
        <f>IF(Familias!B15="","",Familias!B15)</f>
        <v/>
      </c>
      <c r="C15" s="39">
        <f>IF(Familias!B15="",0,N(Familias!L15))</f>
        <v/>
      </c>
      <c r="D15" s="39">
        <f>MAX(-C15,0)</f>
        <v/>
      </c>
      <c r="E15" s="39">
        <f>MAX(C15,0)</f>
        <v/>
      </c>
      <c r="F15" s="23">
        <f>IF(B15="","",COUNTIF(H15:S15,"&gt;0"))</f>
        <v/>
      </c>
      <c r="H15" s="39">
        <f>ROUND(MAX(0,MIN($V15,INDEX($X$8:$X$19,1))-MAX($W15,INDEX($Y$8:$Y$19,1))),2)</f>
        <v/>
      </c>
      <c r="I15" s="39">
        <f>ROUND(MAX(0,MIN($V15,INDEX($X$8:$X$19,2))-MAX($W15,INDEX($Y$8:$Y$19,2))),2)</f>
        <v/>
      </c>
      <c r="J15" s="39">
        <f>ROUND(MAX(0,MIN($V15,INDEX($X$8:$X$19,3))-MAX($W15,INDEX($Y$8:$Y$19,3))),2)</f>
        <v/>
      </c>
      <c r="K15" s="39">
        <f>ROUND(MAX(0,MIN($V15,INDEX($X$8:$X$19,4))-MAX($W15,INDEX($Y$8:$Y$19,4))),2)</f>
        <v/>
      </c>
      <c r="L15" s="39">
        <f>ROUND(MAX(0,MIN($V15,INDEX($X$8:$X$19,5))-MAX($W15,INDEX($Y$8:$Y$19,5))),2)</f>
        <v/>
      </c>
      <c r="M15" s="39">
        <f>ROUND(MAX(0,MIN($V15,INDEX($X$8:$X$19,6))-MAX($W15,INDEX($Y$8:$Y$19,6))),2)</f>
        <v/>
      </c>
      <c r="N15" s="39">
        <f>ROUND(MAX(0,MIN($V15,INDEX($X$8:$X$19,7))-MAX($W15,INDEX($Y$8:$Y$19,7))),2)</f>
        <v/>
      </c>
      <c r="O15" s="39">
        <f>ROUND(MAX(0,MIN($V15,INDEX($X$8:$X$19,8))-MAX($W15,INDEX($Y$8:$Y$19,8))),2)</f>
        <v/>
      </c>
      <c r="P15" s="39">
        <f>ROUND(MAX(0,MIN($V15,INDEX($X$8:$X$19,9))-MAX($W15,INDEX($Y$8:$Y$19,9))),2)</f>
        <v/>
      </c>
      <c r="Q15" s="39">
        <f>ROUND(MAX(0,MIN($V15,INDEX($X$8:$X$19,10))-MAX($W15,INDEX($Y$8:$Y$19,10))),2)</f>
        <v/>
      </c>
      <c r="R15" s="39">
        <f>ROUND(MAX(0,MIN($V15,INDEX($X$8:$X$19,11))-MAX($W15,INDEX($Y$8:$Y$19,11))),2)</f>
        <v/>
      </c>
      <c r="S15" s="39">
        <f>ROUND(MAX(0,MIN($V15,INDEX($X$8:$X$19,12))-MAX($W15,INDEX($Y$8:$Y$19,12))),2)</f>
        <v/>
      </c>
      <c r="T15" s="40">
        <f>SUM(H15:S15)</f>
        <v/>
      </c>
      <c r="V15" s="39">
        <f>SUM(D$8:D15)</f>
        <v/>
      </c>
      <c r="W15" s="39">
        <f>V15-D15</f>
        <v/>
      </c>
      <c r="X15" s="39">
        <f>SUM(E$8:E15)</f>
        <v/>
      </c>
      <c r="Y15" s="39">
        <f>X15-E15</f>
        <v/>
      </c>
    </row>
    <row r="16">
      <c r="B16" s="38">
        <f>IF(Familias!B16="","",Familias!B16)</f>
        <v/>
      </c>
      <c r="C16" s="39">
        <f>IF(Familias!B16="",0,N(Familias!L16))</f>
        <v/>
      </c>
      <c r="D16" s="39">
        <f>MAX(-C16,0)</f>
        <v/>
      </c>
      <c r="E16" s="39">
        <f>MAX(C16,0)</f>
        <v/>
      </c>
      <c r="F16" s="23">
        <f>IF(B16="","",COUNTIF(H16:S16,"&gt;0"))</f>
        <v/>
      </c>
      <c r="H16" s="39">
        <f>ROUND(MAX(0,MIN($V16,INDEX($X$8:$X$19,1))-MAX($W16,INDEX($Y$8:$Y$19,1))),2)</f>
        <v/>
      </c>
      <c r="I16" s="39">
        <f>ROUND(MAX(0,MIN($V16,INDEX($X$8:$X$19,2))-MAX($W16,INDEX($Y$8:$Y$19,2))),2)</f>
        <v/>
      </c>
      <c r="J16" s="39">
        <f>ROUND(MAX(0,MIN($V16,INDEX($X$8:$X$19,3))-MAX($W16,INDEX($Y$8:$Y$19,3))),2)</f>
        <v/>
      </c>
      <c r="K16" s="39">
        <f>ROUND(MAX(0,MIN($V16,INDEX($X$8:$X$19,4))-MAX($W16,INDEX($Y$8:$Y$19,4))),2)</f>
        <v/>
      </c>
      <c r="L16" s="39">
        <f>ROUND(MAX(0,MIN($V16,INDEX($X$8:$X$19,5))-MAX($W16,INDEX($Y$8:$Y$19,5))),2)</f>
        <v/>
      </c>
      <c r="M16" s="39">
        <f>ROUND(MAX(0,MIN($V16,INDEX($X$8:$X$19,6))-MAX($W16,INDEX($Y$8:$Y$19,6))),2)</f>
        <v/>
      </c>
      <c r="N16" s="39">
        <f>ROUND(MAX(0,MIN($V16,INDEX($X$8:$X$19,7))-MAX($W16,INDEX($Y$8:$Y$19,7))),2)</f>
        <v/>
      </c>
      <c r="O16" s="39">
        <f>ROUND(MAX(0,MIN($V16,INDEX($X$8:$X$19,8))-MAX($W16,INDEX($Y$8:$Y$19,8))),2)</f>
        <v/>
      </c>
      <c r="P16" s="39">
        <f>ROUND(MAX(0,MIN($V16,INDEX($X$8:$X$19,9))-MAX($W16,INDEX($Y$8:$Y$19,9))),2)</f>
        <v/>
      </c>
      <c r="Q16" s="39">
        <f>ROUND(MAX(0,MIN($V16,INDEX($X$8:$X$19,10))-MAX($W16,INDEX($Y$8:$Y$19,10))),2)</f>
        <v/>
      </c>
      <c r="R16" s="39">
        <f>ROUND(MAX(0,MIN($V16,INDEX($X$8:$X$19,11))-MAX($W16,INDEX($Y$8:$Y$19,11))),2)</f>
        <v/>
      </c>
      <c r="S16" s="39">
        <f>ROUND(MAX(0,MIN($V16,INDEX($X$8:$X$19,12))-MAX($W16,INDEX($Y$8:$Y$19,12))),2)</f>
        <v/>
      </c>
      <c r="T16" s="40">
        <f>SUM(H16:S16)</f>
        <v/>
      </c>
      <c r="V16" s="39">
        <f>SUM(D$8:D16)</f>
        <v/>
      </c>
      <c r="W16" s="39">
        <f>V16-D16</f>
        <v/>
      </c>
      <c r="X16" s="39">
        <f>SUM(E$8:E16)</f>
        <v/>
      </c>
      <c r="Y16" s="39">
        <f>X16-E16</f>
        <v/>
      </c>
    </row>
    <row r="17">
      <c r="B17" s="38">
        <f>IF(Familias!B17="","",Familias!B17)</f>
        <v/>
      </c>
      <c r="C17" s="39">
        <f>IF(Familias!B17="",0,N(Familias!L17))</f>
        <v/>
      </c>
      <c r="D17" s="39">
        <f>MAX(-C17,0)</f>
        <v/>
      </c>
      <c r="E17" s="39">
        <f>MAX(C17,0)</f>
        <v/>
      </c>
      <c r="F17" s="23">
        <f>IF(B17="","",COUNTIF(H17:S17,"&gt;0"))</f>
        <v/>
      </c>
      <c r="H17" s="39">
        <f>ROUND(MAX(0,MIN($V17,INDEX($X$8:$X$19,1))-MAX($W17,INDEX($Y$8:$Y$19,1))),2)</f>
        <v/>
      </c>
      <c r="I17" s="39">
        <f>ROUND(MAX(0,MIN($V17,INDEX($X$8:$X$19,2))-MAX($W17,INDEX($Y$8:$Y$19,2))),2)</f>
        <v/>
      </c>
      <c r="J17" s="39">
        <f>ROUND(MAX(0,MIN($V17,INDEX($X$8:$X$19,3))-MAX($W17,INDEX($Y$8:$Y$19,3))),2)</f>
        <v/>
      </c>
      <c r="K17" s="39">
        <f>ROUND(MAX(0,MIN($V17,INDEX($X$8:$X$19,4))-MAX($W17,INDEX($Y$8:$Y$19,4))),2)</f>
        <v/>
      </c>
      <c r="L17" s="39">
        <f>ROUND(MAX(0,MIN($V17,INDEX($X$8:$X$19,5))-MAX($W17,INDEX($Y$8:$Y$19,5))),2)</f>
        <v/>
      </c>
      <c r="M17" s="39">
        <f>ROUND(MAX(0,MIN($V17,INDEX($X$8:$X$19,6))-MAX($W17,INDEX($Y$8:$Y$19,6))),2)</f>
        <v/>
      </c>
      <c r="N17" s="39">
        <f>ROUND(MAX(0,MIN($V17,INDEX($X$8:$X$19,7))-MAX($W17,INDEX($Y$8:$Y$19,7))),2)</f>
        <v/>
      </c>
      <c r="O17" s="39">
        <f>ROUND(MAX(0,MIN($V17,INDEX($X$8:$X$19,8))-MAX($W17,INDEX($Y$8:$Y$19,8))),2)</f>
        <v/>
      </c>
      <c r="P17" s="39">
        <f>ROUND(MAX(0,MIN($V17,INDEX($X$8:$X$19,9))-MAX($W17,INDEX($Y$8:$Y$19,9))),2)</f>
        <v/>
      </c>
      <c r="Q17" s="39">
        <f>ROUND(MAX(0,MIN($V17,INDEX($X$8:$X$19,10))-MAX($W17,INDEX($Y$8:$Y$19,10))),2)</f>
        <v/>
      </c>
      <c r="R17" s="39">
        <f>ROUND(MAX(0,MIN($V17,INDEX($X$8:$X$19,11))-MAX($W17,INDEX($Y$8:$Y$19,11))),2)</f>
        <v/>
      </c>
      <c r="S17" s="39">
        <f>ROUND(MAX(0,MIN($V17,INDEX($X$8:$X$19,12))-MAX($W17,INDEX($Y$8:$Y$19,12))),2)</f>
        <v/>
      </c>
      <c r="T17" s="40">
        <f>SUM(H17:S17)</f>
        <v/>
      </c>
      <c r="V17" s="39">
        <f>SUM(D$8:D17)</f>
        <v/>
      </c>
      <c r="W17" s="39">
        <f>V17-D17</f>
        <v/>
      </c>
      <c r="X17" s="39">
        <f>SUM(E$8:E17)</f>
        <v/>
      </c>
      <c r="Y17" s="39">
        <f>X17-E17</f>
        <v/>
      </c>
    </row>
    <row r="18">
      <c r="B18" s="38">
        <f>IF(Familias!B18="","",Familias!B18)</f>
        <v/>
      </c>
      <c r="C18" s="39">
        <f>IF(Familias!B18="",0,N(Familias!L18))</f>
        <v/>
      </c>
      <c r="D18" s="39">
        <f>MAX(-C18,0)</f>
        <v/>
      </c>
      <c r="E18" s="39">
        <f>MAX(C18,0)</f>
        <v/>
      </c>
      <c r="F18" s="23">
        <f>IF(B18="","",COUNTIF(H18:S18,"&gt;0"))</f>
        <v/>
      </c>
      <c r="H18" s="39">
        <f>ROUND(MAX(0,MIN($V18,INDEX($X$8:$X$19,1))-MAX($W18,INDEX($Y$8:$Y$19,1))),2)</f>
        <v/>
      </c>
      <c r="I18" s="39">
        <f>ROUND(MAX(0,MIN($V18,INDEX($X$8:$X$19,2))-MAX($W18,INDEX($Y$8:$Y$19,2))),2)</f>
        <v/>
      </c>
      <c r="J18" s="39">
        <f>ROUND(MAX(0,MIN($V18,INDEX($X$8:$X$19,3))-MAX($W18,INDEX($Y$8:$Y$19,3))),2)</f>
        <v/>
      </c>
      <c r="K18" s="39">
        <f>ROUND(MAX(0,MIN($V18,INDEX($X$8:$X$19,4))-MAX($W18,INDEX($Y$8:$Y$19,4))),2)</f>
        <v/>
      </c>
      <c r="L18" s="39">
        <f>ROUND(MAX(0,MIN($V18,INDEX($X$8:$X$19,5))-MAX($W18,INDEX($Y$8:$Y$19,5))),2)</f>
        <v/>
      </c>
      <c r="M18" s="39">
        <f>ROUND(MAX(0,MIN($V18,INDEX($X$8:$X$19,6))-MAX($W18,INDEX($Y$8:$Y$19,6))),2)</f>
        <v/>
      </c>
      <c r="N18" s="39">
        <f>ROUND(MAX(0,MIN($V18,INDEX($X$8:$X$19,7))-MAX($W18,INDEX($Y$8:$Y$19,7))),2)</f>
        <v/>
      </c>
      <c r="O18" s="39">
        <f>ROUND(MAX(0,MIN($V18,INDEX($X$8:$X$19,8))-MAX($W18,INDEX($Y$8:$Y$19,8))),2)</f>
        <v/>
      </c>
      <c r="P18" s="39">
        <f>ROUND(MAX(0,MIN($V18,INDEX($X$8:$X$19,9))-MAX($W18,INDEX($Y$8:$Y$19,9))),2)</f>
        <v/>
      </c>
      <c r="Q18" s="39">
        <f>ROUND(MAX(0,MIN($V18,INDEX($X$8:$X$19,10))-MAX($W18,INDEX($Y$8:$Y$19,10))),2)</f>
        <v/>
      </c>
      <c r="R18" s="39">
        <f>ROUND(MAX(0,MIN($V18,INDEX($X$8:$X$19,11))-MAX($W18,INDEX($Y$8:$Y$19,11))),2)</f>
        <v/>
      </c>
      <c r="S18" s="39">
        <f>ROUND(MAX(0,MIN($V18,INDEX($X$8:$X$19,12))-MAX($W18,INDEX($Y$8:$Y$19,12))),2)</f>
        <v/>
      </c>
      <c r="T18" s="40">
        <f>SUM(H18:S18)</f>
        <v/>
      </c>
      <c r="V18" s="39">
        <f>SUM(D$8:D18)</f>
        <v/>
      </c>
      <c r="W18" s="39">
        <f>V18-D18</f>
        <v/>
      </c>
      <c r="X18" s="39">
        <f>SUM(E$8:E18)</f>
        <v/>
      </c>
      <c r="Y18" s="39">
        <f>X18-E18</f>
        <v/>
      </c>
    </row>
    <row r="19">
      <c r="B19" s="38">
        <f>IF(Familias!B19="","",Familias!B19)</f>
        <v/>
      </c>
      <c r="C19" s="39">
        <f>IF(Familias!B19="",0,N(Familias!L19))</f>
        <v/>
      </c>
      <c r="D19" s="39">
        <f>MAX(-C19,0)</f>
        <v/>
      </c>
      <c r="E19" s="39">
        <f>MAX(C19,0)</f>
        <v/>
      </c>
      <c r="F19" s="23">
        <f>IF(B19="","",COUNTIF(H19:S19,"&gt;0"))</f>
        <v/>
      </c>
      <c r="H19" s="39">
        <f>ROUND(MAX(0,MIN($V19,INDEX($X$8:$X$19,1))-MAX($W19,INDEX($Y$8:$Y$19,1))),2)</f>
        <v/>
      </c>
      <c r="I19" s="39">
        <f>ROUND(MAX(0,MIN($V19,INDEX($X$8:$X$19,2))-MAX($W19,INDEX($Y$8:$Y$19,2))),2)</f>
        <v/>
      </c>
      <c r="J19" s="39">
        <f>ROUND(MAX(0,MIN($V19,INDEX($X$8:$X$19,3))-MAX($W19,INDEX($Y$8:$Y$19,3))),2)</f>
        <v/>
      </c>
      <c r="K19" s="39">
        <f>ROUND(MAX(0,MIN($V19,INDEX($X$8:$X$19,4))-MAX($W19,INDEX($Y$8:$Y$19,4))),2)</f>
        <v/>
      </c>
      <c r="L19" s="39">
        <f>ROUND(MAX(0,MIN($V19,INDEX($X$8:$X$19,5))-MAX($W19,INDEX($Y$8:$Y$19,5))),2)</f>
        <v/>
      </c>
      <c r="M19" s="39">
        <f>ROUND(MAX(0,MIN($V19,INDEX($X$8:$X$19,6))-MAX($W19,INDEX($Y$8:$Y$19,6))),2)</f>
        <v/>
      </c>
      <c r="N19" s="39">
        <f>ROUND(MAX(0,MIN($V19,INDEX($X$8:$X$19,7))-MAX($W19,INDEX($Y$8:$Y$19,7))),2)</f>
        <v/>
      </c>
      <c r="O19" s="39">
        <f>ROUND(MAX(0,MIN($V19,INDEX($X$8:$X$19,8))-MAX($W19,INDEX($Y$8:$Y$19,8))),2)</f>
        <v/>
      </c>
      <c r="P19" s="39">
        <f>ROUND(MAX(0,MIN($V19,INDEX($X$8:$X$19,9))-MAX($W19,INDEX($Y$8:$Y$19,9))),2)</f>
        <v/>
      </c>
      <c r="Q19" s="39">
        <f>ROUND(MAX(0,MIN($V19,INDEX($X$8:$X$19,10))-MAX($W19,INDEX($Y$8:$Y$19,10))),2)</f>
        <v/>
      </c>
      <c r="R19" s="39">
        <f>ROUND(MAX(0,MIN($V19,INDEX($X$8:$X$19,11))-MAX($W19,INDEX($Y$8:$Y$19,11))),2)</f>
        <v/>
      </c>
      <c r="S19" s="39">
        <f>ROUND(MAX(0,MIN($V19,INDEX($X$8:$X$19,12))-MAX($W19,INDEX($Y$8:$Y$19,12))),2)</f>
        <v/>
      </c>
      <c r="T19" s="40">
        <f>SUM(H19:S19)</f>
        <v/>
      </c>
      <c r="V19" s="39">
        <f>SUM(D$8:D19)</f>
        <v/>
      </c>
      <c r="W19" s="39">
        <f>V19-D19</f>
        <v/>
      </c>
      <c r="X19" s="39">
        <f>SUM(E$8:E19)</f>
        <v/>
      </c>
      <c r="Y19" s="39">
        <f>X19-E19</f>
        <v/>
      </c>
    </row>
    <row r="20">
      <c r="B20" s="30" t="inlineStr">
        <is>
          <t>Total que cobra cada familia</t>
        </is>
      </c>
      <c r="H20" s="41">
        <f>SUM(H8:H19)</f>
        <v/>
      </c>
      <c r="I20" s="41">
        <f>SUM(I8:I19)</f>
        <v/>
      </c>
      <c r="J20" s="41">
        <f>SUM(J8:J19)</f>
        <v/>
      </c>
      <c r="K20" s="41">
        <f>SUM(K8:K19)</f>
        <v/>
      </c>
      <c r="L20" s="41">
        <f>SUM(L8:L19)</f>
        <v/>
      </c>
      <c r="M20" s="41">
        <f>SUM(M8:M19)</f>
        <v/>
      </c>
      <c r="N20" s="41">
        <f>SUM(N8:N19)</f>
        <v/>
      </c>
      <c r="O20" s="41">
        <f>SUM(O8:O19)</f>
        <v/>
      </c>
      <c r="P20" s="41">
        <f>SUM(P8:P19)</f>
        <v/>
      </c>
      <c r="Q20" s="41">
        <f>SUM(Q8:Q19)</f>
        <v/>
      </c>
      <c r="R20" s="41">
        <f>SUM(R8:R19)</f>
        <v/>
      </c>
      <c r="S20" s="41">
        <f>SUM(S8:S19)</f>
        <v/>
      </c>
      <c r="T20" s="41">
        <f>SUM(T8:T19)</f>
        <v/>
      </c>
    </row>
    <row r="22">
      <c r="B22" s="29" t="inlineStr">
        <is>
          <t>Control (debe ser 0,00 €)</t>
        </is>
      </c>
      <c r="D22" s="21">
        <f>ROUND(D5-T20,2)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T3"/>
    <mergeCell ref="B2:T2"/>
    <mergeCell ref="H6:S6"/>
  </mergeCells>
  <conditionalFormatting sqref="D22">
    <cfRule type="expression" priority="1" dxfId="2">
      <formula>D22&lt;&gt;0</formula>
    </cfRule>
  </conditionalFormatting>
  <conditionalFormatting sqref="H8:S19">
    <cfRule type="expression" priority="2" dxfId="0">
      <formula>H8&gt;0</formula>
    </cfRule>
  </conditionalFormatting>
  <conditionalFormatting sqref="C8:C19">
    <cfRule type="expression" priority="3" dxfId="2">
      <formula>C8&lt;-0.005</formula>
    </cfRule>
    <cfRule type="expression" priority="4" dxfId="0">
      <formula>C8&gt;0.005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Reparto</t>
        </is>
      </c>
      <c r="C1" t="inlineStr">
        <is>
          <t>Tipo de plato</t>
        </is>
      </c>
      <c r="D1" t="inlineStr">
        <is>
          <t>Asistencia</t>
        </is>
      </c>
    </row>
    <row r="2">
      <c r="A2" t="inlineStr">
        <is>
          <t>Comida</t>
        </is>
      </c>
      <c r="B2" t="inlineStr">
        <is>
          <t>Todos</t>
        </is>
      </c>
      <c r="C2" t="inlineStr">
        <is>
          <t>Entrante</t>
        </is>
      </c>
      <c r="D2" t="inlineStr">
        <is>
          <t>Sí</t>
        </is>
      </c>
    </row>
    <row r="3">
      <c r="A3" t="inlineStr">
        <is>
          <t>Bebidas</t>
        </is>
      </c>
      <c r="B3" t="inlineStr">
        <is>
          <t>Solo adultos</t>
        </is>
      </c>
      <c r="C3" t="inlineStr">
        <is>
          <t>Principal</t>
        </is>
      </c>
      <c r="D3" t="inlineStr">
        <is>
          <t>Pendiente</t>
        </is>
      </c>
    </row>
    <row r="4">
      <c r="A4" t="inlineStr">
        <is>
          <t>Alquiler y material</t>
        </is>
      </c>
      <c r="C4" t="inlineStr">
        <is>
          <t>Postre</t>
        </is>
      </c>
      <c r="D4" t="inlineStr">
        <is>
          <t>No</t>
        </is>
      </c>
    </row>
    <row r="5">
      <c r="A5" t="inlineStr">
        <is>
          <t>Decoración</t>
        </is>
      </c>
      <c r="C5" t="inlineStr">
        <is>
          <t>Bebida</t>
        </is>
      </c>
    </row>
    <row r="6">
      <c r="A6" t="inlineStr">
        <is>
          <t>Juegos y regalos</t>
        </is>
      </c>
      <c r="C6" t="inlineStr">
        <is>
          <t>Pan y aperitivo</t>
        </is>
      </c>
    </row>
    <row r="7">
      <c r="A7" t="inlineStr">
        <is>
          <t>Otros</t>
        </is>
      </c>
      <c r="C7" t="inlineStr">
        <is>
          <t>Otros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reunión familiar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42" t="inlineStr">
        <is>
          <t>1.  En Resumen rellena los datos del evento (celdas crema C6:C9): nombre, fecha, lugar y el porcentaje que paga un niño respecto a un adulto.</t>
        </is>
      </c>
    </row>
    <row r="7" ht="30" customHeight="1">
      <c r="B7" s="42" t="inlineStr">
        <is>
          <t>2.  En Familias escribe una familia por fila (hasta 12) con el nº de adultos y de niños, el plato que aporta y su tipo (desplegable).</t>
        </is>
      </c>
    </row>
    <row r="8" ht="30" customHeight="1">
      <c r="B8" s="42" t="inlineStr">
        <is>
          <t>3.  Marca la Asistencia de cada familia: Sí, Pendiente o No. Las familias con "No" no cuentan ni en personas ni en el reparto.</t>
        </is>
      </c>
    </row>
    <row r="9" ht="30" customHeight="1">
      <c r="B9" s="42" t="inlineStr">
        <is>
          <t>4.  En Gastos apunta cada compra: fecha, concepto, categoría, importe y quién la pagó (desplegable con tus familias). Hay 40 filas listas.</t>
        </is>
      </c>
    </row>
    <row r="10" ht="30" customHeight="1">
      <c r="B10" s="42" t="inlineStr">
        <is>
          <t>5.  En "Se reparte entre" elige Todos o Solo adultos (útil para vino, cava o licores que no consumen los niños).</t>
        </is>
      </c>
    </row>
    <row r="11" ht="30" customHeight="1">
      <c r="B11" s="42" t="inlineStr">
        <is>
          <t>6.  Vuelve a Familias: Ha pagado, Le corresponde, Saldo y Situación se calculan solos (verde = le deben, rojo = debe pagar).</t>
        </is>
      </c>
    </row>
    <row r="12" ht="30" customHeight="1">
      <c r="B12" s="42" t="inlineStr">
        <is>
          <t>7.  Abre Liquidación: cada fila es una familia que paga y cada columna la que cobra. Las celdas verdes con importe son las transferencias.</t>
        </is>
      </c>
    </row>
    <row r="13" ht="30" customHeight="1">
      <c r="B13" s="42" t="inlineStr">
        <is>
          <t>8.  Comprueba en Resumen el gasto total, el coste por persona, la cobertura del menú y el gráfico por categoría. Añade el programa del día a la derecha.</t>
        </is>
      </c>
    </row>
    <row r="15">
      <c r="B15" s="4" t="inlineStr">
        <is>
          <t>CONSEJOS</t>
        </is>
      </c>
    </row>
    <row r="16" ht="30" customHeight="1">
      <c r="B16" s="42" t="inlineStr">
        <is>
          <t>•  Los datos de ejemplo son ficticios; bórralos y escribe los tuyos. Los nombres de familia deben coincidir con los de la lista (usa el desplegable).</t>
        </is>
      </c>
    </row>
    <row r="17" ht="30" customHeight="1">
      <c r="B17" s="42" t="inlineStr">
        <is>
          <t>•  Si en Gastos aparece "Revisar", falta el importe o el pagador, o el nombre no coincide con ninguna familia de la hoja Familias.</t>
        </is>
      </c>
    </row>
    <row r="18" ht="30" customHeight="1">
      <c r="B18" s="42" t="inlineStr">
        <is>
          <t>•  El porcentaje de los niños (Resumen C9) es un parámetro editable: pon 0 % si los niños no pagan o 100 % si pagan como un adulto.</t>
        </is>
      </c>
    </row>
    <row r="19" ht="30" customHeight="1">
      <c r="B19" s="42" t="inlineStr">
        <is>
          <t>•  La liquidación cruza deudas y cobros en el orden de la lista, sin ordenar por importes: puede dar algún pago más que el mínimo posible, pero las cuentas cuadran siempre.</t>
        </is>
      </c>
    </row>
    <row r="20" ht="30" customHeight="1">
      <c r="B20" s="42" t="inlineStr">
        <is>
          <t>•  Las hojas están protegidas sin contraseña: solo se editan las celdas crema (Revisión &gt; Desproteger hoja si quieres personalizar).</t>
        </is>
      </c>
    </row>
    <row r="22">
      <c r="B22" s="29" t="inlineStr">
        <is>
          <t>Las celdas con fondo crema y texto azul son para rellenar; las verdes se calculan solas.</t>
        </is>
      </c>
    </row>
    <row r="24" ht="44" customHeight="1">
      <c r="B24" s="43" t="inlineStr">
        <is>
          <t>Esta plantilla sirve para registrar y organizar gastos compartidos entre familiares. Los repartos son cálculos aritméticos orientativos, no asesoramiento financiero: acordad entre vosotros el criterio que os parezca justo.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2026-10-02T13:10:21Z</dcterms:created>
  <dcterms:modified xmlns:dcterms="http://purl.org/dc/terms/" xmlns:xsi="http://www.w3.org/2001/XMLSchema-instance" xsi:type="dcterms:W3CDTF">2026-10-02T13:10:21Z</dcterms:modified>
</cp:coreProperties>
</file>