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Registro" sheetId="3" state="visible" r:id="rId3"/>
    <sheet xmlns:r="http://schemas.openxmlformats.org/officeDocument/2006/relationships" name="Semanal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0.00000"/>
    <numFmt numFmtId="166" formatCode="yyyy-mm-dd"/>
    <numFmt numFmtId="167" formatCode="dd/mm/yyyy"/>
    <numFmt numFmtId="168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5" borderId="0" applyAlignment="1" pivotButton="0" quotePrefix="0" xfId="0">
      <alignment horizontal="center" vertical="center" wrapText="1"/>
    </xf>
    <xf numFmtId="164" fontId="10" fillId="5" borderId="0" applyAlignment="1" pivotButton="0" quotePrefix="0" xfId="0">
      <alignment horizontal="center" vertical="center"/>
    </xf>
    <xf numFmtId="3" fontId="10" fillId="5" borderId="0" applyAlignment="1" pivotButton="0" quotePrefix="0" xfId="0">
      <alignment horizontal="center" vertical="center"/>
    </xf>
    <xf numFmtId="168" fontId="10" fillId="5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168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6" borderId="1" applyAlignment="1" pivotButton="0" quotePrefix="0" xfId="0">
      <alignment vertical="center"/>
    </xf>
    <xf numFmtId="164" fontId="12" fillId="6" borderId="1" applyAlignment="1" pivotButton="0" quotePrefix="0" xfId="0">
      <alignment vertical="center"/>
    </xf>
    <xf numFmtId="168" fontId="12" fillId="6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4" borderId="1" applyAlignment="1" applyProtection="1" pivotButton="0" quotePrefix="0" xfId="0">
      <alignment vertical="center"/>
      <protection locked="0" hidden="0"/>
    </xf>
    <xf numFmtId="164" fontId="5" fillId="4" borderId="1" applyAlignment="1" applyProtection="1" pivotButton="0" quotePrefix="0" xfId="0">
      <alignment vertical="center"/>
      <protection locked="0" hidden="0"/>
    </xf>
    <xf numFmtId="9" fontId="5" fillId="4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vertical="center"/>
    </xf>
    <xf numFmtId="167" fontId="5" fillId="4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applyProtection="1" pivotButton="0" quotePrefix="0" xfId="0">
      <alignment horizontal="center" vertical="center"/>
      <protection locked="0" hidden="0"/>
    </xf>
    <xf numFmtId="1" fontId="5" fillId="4" borderId="1" applyAlignment="1" applyProtection="1" pivotButton="0" quotePrefix="0" xfId="0">
      <alignment horizontal="center" vertical="center"/>
      <protection locked="0" hidden="0"/>
    </xf>
    <xf numFmtId="164" fontId="8" fillId="0" borderId="1" applyAlignment="1" pivotButton="0" quotePrefix="0" xfId="0">
      <alignment vertical="center"/>
    </xf>
    <xf numFmtId="9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Ahorro acumulado frente al objetivo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'Panel'!$B$13:$B$16</f>
            </numRef>
          </cat>
          <val>
            <numRef>
              <f>'Panel'!$F$13:$F$16</f>
            </numRef>
          </val>
        </ser>
        <ser>
          <idx val="1"/>
          <order val="1"/>
          <tx>
            <strRef>
              <f>'Panel'!G12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'Panel'!$B$13:$B$16</f>
            </numRef>
          </cat>
          <val>
            <numRef>
              <f>'Panel'!$G$13:$G$16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M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20" customWidth="1" min="2" max="2"/>
    <col width="18" customWidth="1" min="3" max="3"/>
    <col width="13" customWidth="1" min="4" max="4"/>
    <col width="13" customWidth="1" min="5" max="5"/>
    <col width="14" customWidth="1" min="6" max="6"/>
    <col width="14" customWidth="1" min="7" max="7"/>
    <col width="12" customWidth="1" min="8" max="8"/>
    <col width="12" customWidth="1" min="9" max="9"/>
    <col width="13" customWidth="1" min="10" max="10"/>
    <col width="12" customWidth="1" min="11" max="11"/>
    <col width="14" customWidth="1" min="12" max="12"/>
    <col width="14" customWidth="1" min="13" max="13"/>
  </cols>
  <sheetData>
    <row r="2" ht="34" customHeight="1">
      <c r="B2" s="1" t="inlineStr">
        <is>
          <t>Panel de la paga semanal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Resumen por hijo, progreso hacia su objetivo de ahorro y tareas más pagadas.</t>
        </is>
      </c>
    </row>
    <row r="5" ht="30" customHeight="1">
      <c r="B5" s="4" t="inlineStr">
        <is>
          <t>PAGA TOTAL ENTREGADA</t>
        </is>
      </c>
      <c r="D5" s="4" t="inlineStr">
        <is>
          <t>GANADO POR TAREAS</t>
        </is>
      </c>
      <c r="F5" s="4" t="inlineStr">
        <is>
          <t>AHORRO ACUMULADO</t>
        </is>
      </c>
      <c r="H5" s="4" t="inlineStr">
        <is>
          <t>CARTERA PARA GASTAR</t>
        </is>
      </c>
      <c r="J5" s="4" t="inlineStr">
        <is>
          <t>GASTADO</t>
        </is>
      </c>
      <c r="L5" s="4" t="inlineStr">
        <is>
          <t>TAREAS HECHAS (VECES)</t>
        </is>
      </c>
    </row>
    <row r="6" ht="34" customHeight="1">
      <c r="B6" s="5">
        <f>SUM(Semanal!$F$7:$F$66)</f>
        <v/>
      </c>
      <c r="D6" s="5">
        <f>SUM(Semanal!$D$7:$D$66)</f>
        <v/>
      </c>
      <c r="F6" s="5">
        <f>SUM(F13:F16)</f>
        <v/>
      </c>
      <c r="H6" s="5">
        <f>SUM(M13:M16)</f>
        <v/>
      </c>
      <c r="J6" s="5">
        <f>SUMIF(Registro!$M$7:$M$46,"Gasto",Registro!$O$7:$O$46)</f>
        <v/>
      </c>
      <c r="L6" s="6">
        <f>SUMIF(Registro!$I$7:$I$66,"&lt;&gt;No",Registro!$E$7:$E$66)</f>
        <v/>
      </c>
    </row>
    <row r="8" ht="30" customHeight="1">
      <c r="B8" s="4" t="inlineStr">
        <is>
          <t>% DE LA PAGA QUE SE GANA CON TAREAS</t>
        </is>
      </c>
      <c r="D8" s="4" t="inlineStr">
        <is>
          <t>TAREAS NO VALIDADAS</t>
        </is>
      </c>
      <c r="F8" s="4" t="inlineStr">
        <is>
          <t>SEMANAS REGISTRADAS</t>
        </is>
      </c>
      <c r="H8" s="4" t="inlineStr">
        <is>
          <t>PAGA MEDIA POR HIJO Y SEMANA</t>
        </is>
      </c>
      <c r="J8" s="4" t="inlineStr">
        <is>
          <t>OBJETIVOS CONSEGUIDOS</t>
        </is>
      </c>
      <c r="L8" s="4" t="inlineStr">
        <is>
          <t>REGALOS RECIBIDOS</t>
        </is>
      </c>
    </row>
    <row r="9" ht="34" customHeight="1">
      <c r="B9" s="7">
        <f>IF(B6=0,0,D6/B6)</f>
        <v/>
      </c>
      <c r="D9" s="6">
        <f>COUNTIF(Registro!$I$7:$I$66,"No")</f>
        <v/>
      </c>
      <c r="F9" s="6">
        <f>SUMPRODUCT((Semanal!$B$7:$B$66&lt;&gt;"")/COUNTIF(Semanal!$B$7:$B$66,Semanal!$B$7:$B$66&amp;""))</f>
        <v/>
      </c>
      <c r="H9" s="5">
        <f>IF(COUNT(Semanal!$F$7:$F$66)=0,0,B6/COUNT(Semanal!$F$7:$F$66))</f>
        <v/>
      </c>
      <c r="J9" s="6">
        <f>COUNTIF(L13:L16,"Conseguido")</f>
        <v/>
      </c>
      <c r="L9" s="5">
        <f>SUMIF(Registro!$M$7:$M$46,"Regalo",Registro!$O$7:$O$46)</f>
        <v/>
      </c>
    </row>
    <row r="11">
      <c r="B11" s="8" t="inlineStr">
        <is>
          <t>RESUMEN POR HIJO</t>
        </is>
      </c>
    </row>
    <row r="12" ht="44" customHeight="1">
      <c r="B12" s="9" t="inlineStr">
        <is>
          <t>Hijo/a</t>
        </is>
      </c>
      <c r="C12" s="9" t="inlineStr">
        <is>
          <t>Objetivo</t>
        </is>
      </c>
      <c r="D12" s="9" t="inlineStr">
        <is>
          <t>Ganado en tareas</t>
        </is>
      </c>
      <c r="E12" s="9" t="inlineStr">
        <is>
          <t>Paga total</t>
        </is>
      </c>
      <c r="F12" s="9" t="inlineStr">
        <is>
          <t>Ahorro acumulado</t>
        </is>
      </c>
      <c r="G12" s="9" t="inlineStr">
        <is>
          <t>Importe objetivo</t>
        </is>
      </c>
      <c r="H12" s="9" t="inlineStr">
        <is>
          <t>Progreso</t>
        </is>
      </c>
      <c r="I12" s="9" t="inlineStr">
        <is>
          <t>Falta</t>
        </is>
      </c>
      <c r="J12" s="9" t="inlineStr">
        <is>
          <t>Ahorro medio por semana</t>
        </is>
      </c>
      <c r="K12" s="9" t="inlineStr">
        <is>
          <t>Semanas restantes</t>
        </is>
      </c>
      <c r="L12" s="9" t="inlineStr">
        <is>
          <t>Fecha estimada</t>
        </is>
      </c>
      <c r="M12" s="9" t="inlineStr">
        <is>
          <t>Cartera para gastar</t>
        </is>
      </c>
    </row>
    <row r="13">
      <c r="B13" s="10">
        <f>IF(Ajustes!B7="","",Ajustes!B7)</f>
        <v/>
      </c>
      <c r="C13" s="11">
        <f>IF(B13="","",Ajustes!E7)</f>
        <v/>
      </c>
      <c r="D13" s="12">
        <f>IF(B13="","",SUMIF(Semanal!$C$7:$C$66,B13,Semanal!$D$7:$D$66))</f>
        <v/>
      </c>
      <c r="E13" s="12">
        <f>IF(B13="","",SUMIF(Semanal!$C$7:$C$66,B13,Semanal!$F$7:$F$66))</f>
        <v/>
      </c>
      <c r="F13" s="12">
        <f>IF(B13="","",Ajustes!G7+SUMIF(Semanal!$C$7:$C$66,B13,Semanal!$H$7:$H$66))</f>
        <v/>
      </c>
      <c r="G13" s="12">
        <f>IF(B13="","",Ajustes!F7)</f>
        <v/>
      </c>
      <c r="H13" s="13">
        <f>IF(B13="","",IF(G13&gt;0,MIN(F13/G13,1),0))</f>
        <v/>
      </c>
      <c r="I13" s="12">
        <f>IF(B13="","",MAX(G13-F13,0))</f>
        <v/>
      </c>
      <c r="J13" s="12">
        <f>IF(B13="","",IFERROR(SUMIF(Semanal!$C$7:$C$66,B13,Semanal!$H$7:$H$66)/COUNTIF(Semanal!$C$7:$C$66,B13),0))</f>
        <v/>
      </c>
      <c r="K13" s="14">
        <f>IF(B13="","",IF(I13=0,0,IF(J13&lt;=0,"-",ROUNDUP(I13/J13,0))))</f>
        <v/>
      </c>
      <c r="L13" s="15">
        <f>IF(B13="","",IF(I13=0,"Conseguido",IF(ISNUMBER(K13),SUMPRODUCT(MAX((Semanal!$C$7:$C$66=B13)*Semanal!$B$7:$B$66))+7*K13,"-")))</f>
        <v/>
      </c>
      <c r="M13" s="12">
        <f>IF(B13="","",SUMIF(Semanal!$C$7:$C$66,B13,Semanal!$L$7:$L$66))</f>
        <v/>
      </c>
    </row>
    <row r="14">
      <c r="B14" s="10">
        <f>IF(Ajustes!B8="","",Ajustes!B8)</f>
        <v/>
      </c>
      <c r="C14" s="11">
        <f>IF(B14="","",Ajustes!E8)</f>
        <v/>
      </c>
      <c r="D14" s="12">
        <f>IF(B14="","",SUMIF(Semanal!$C$7:$C$66,B14,Semanal!$D$7:$D$66))</f>
        <v/>
      </c>
      <c r="E14" s="12">
        <f>IF(B14="","",SUMIF(Semanal!$C$7:$C$66,B14,Semanal!$F$7:$F$66))</f>
        <v/>
      </c>
      <c r="F14" s="12">
        <f>IF(B14="","",Ajustes!G8+SUMIF(Semanal!$C$7:$C$66,B14,Semanal!$H$7:$H$66))</f>
        <v/>
      </c>
      <c r="G14" s="12">
        <f>IF(B14="","",Ajustes!F8)</f>
        <v/>
      </c>
      <c r="H14" s="13">
        <f>IF(B14="","",IF(G14&gt;0,MIN(F14/G14,1),0))</f>
        <v/>
      </c>
      <c r="I14" s="12">
        <f>IF(B14="","",MAX(G14-F14,0))</f>
        <v/>
      </c>
      <c r="J14" s="12">
        <f>IF(B14="","",IFERROR(SUMIF(Semanal!$C$7:$C$66,B14,Semanal!$H$7:$H$66)/COUNTIF(Semanal!$C$7:$C$66,B14),0))</f>
        <v/>
      </c>
      <c r="K14" s="14">
        <f>IF(B14="","",IF(I14=0,0,IF(J14&lt;=0,"-",ROUNDUP(I14/J14,0))))</f>
        <v/>
      </c>
      <c r="L14" s="15">
        <f>IF(B14="","",IF(I14=0,"Conseguido",IF(ISNUMBER(K14),SUMPRODUCT(MAX((Semanal!$C$7:$C$66=B14)*Semanal!$B$7:$B$66))+7*K14,"-")))</f>
        <v/>
      </c>
      <c r="M14" s="12">
        <f>IF(B14="","",SUMIF(Semanal!$C$7:$C$66,B14,Semanal!$L$7:$L$66))</f>
        <v/>
      </c>
    </row>
    <row r="15">
      <c r="B15" s="10">
        <f>IF(Ajustes!B9="","",Ajustes!B9)</f>
        <v/>
      </c>
      <c r="C15" s="11">
        <f>IF(B15="","",Ajustes!E9)</f>
        <v/>
      </c>
      <c r="D15" s="12">
        <f>IF(B15="","",SUMIF(Semanal!$C$7:$C$66,B15,Semanal!$D$7:$D$66))</f>
        <v/>
      </c>
      <c r="E15" s="12">
        <f>IF(B15="","",SUMIF(Semanal!$C$7:$C$66,B15,Semanal!$F$7:$F$66))</f>
        <v/>
      </c>
      <c r="F15" s="12">
        <f>IF(B15="","",Ajustes!G9+SUMIF(Semanal!$C$7:$C$66,B15,Semanal!$H$7:$H$66))</f>
        <v/>
      </c>
      <c r="G15" s="12">
        <f>IF(B15="","",Ajustes!F9)</f>
        <v/>
      </c>
      <c r="H15" s="13">
        <f>IF(B15="","",IF(G15&gt;0,MIN(F15/G15,1),0))</f>
        <v/>
      </c>
      <c r="I15" s="12">
        <f>IF(B15="","",MAX(G15-F15,0))</f>
        <v/>
      </c>
      <c r="J15" s="12">
        <f>IF(B15="","",IFERROR(SUMIF(Semanal!$C$7:$C$66,B15,Semanal!$H$7:$H$66)/COUNTIF(Semanal!$C$7:$C$66,B15),0))</f>
        <v/>
      </c>
      <c r="K15" s="14">
        <f>IF(B15="","",IF(I15=0,0,IF(J15&lt;=0,"-",ROUNDUP(I15/J15,0))))</f>
        <v/>
      </c>
      <c r="L15" s="15">
        <f>IF(B15="","",IF(I15=0,"Conseguido",IF(ISNUMBER(K15),SUMPRODUCT(MAX((Semanal!$C$7:$C$66=B15)*Semanal!$B$7:$B$66))+7*K15,"-")))</f>
        <v/>
      </c>
      <c r="M15" s="12">
        <f>IF(B15="","",SUMIF(Semanal!$C$7:$C$66,B15,Semanal!$L$7:$L$66))</f>
        <v/>
      </c>
    </row>
    <row r="16">
      <c r="B16" s="10">
        <f>IF(Ajustes!B10="","",Ajustes!B10)</f>
        <v/>
      </c>
      <c r="C16" s="11">
        <f>IF(B16="","",Ajustes!E10)</f>
        <v/>
      </c>
      <c r="D16" s="12">
        <f>IF(B16="","",SUMIF(Semanal!$C$7:$C$66,B16,Semanal!$D$7:$D$66))</f>
        <v/>
      </c>
      <c r="E16" s="12">
        <f>IF(B16="","",SUMIF(Semanal!$C$7:$C$66,B16,Semanal!$F$7:$F$66))</f>
        <v/>
      </c>
      <c r="F16" s="12">
        <f>IF(B16="","",Ajustes!G10+SUMIF(Semanal!$C$7:$C$66,B16,Semanal!$H$7:$H$66))</f>
        <v/>
      </c>
      <c r="G16" s="12">
        <f>IF(B16="","",Ajustes!F10)</f>
        <v/>
      </c>
      <c r="H16" s="13">
        <f>IF(B16="","",IF(G16&gt;0,MIN(F16/G16,1),0))</f>
        <v/>
      </c>
      <c r="I16" s="12">
        <f>IF(B16="","",MAX(G16-F16,0))</f>
        <v/>
      </c>
      <c r="J16" s="12">
        <f>IF(B16="","",IFERROR(SUMIF(Semanal!$C$7:$C$66,B16,Semanal!$H$7:$H$66)/COUNTIF(Semanal!$C$7:$C$66,B16),0))</f>
        <v/>
      </c>
      <c r="K16" s="14">
        <f>IF(B16="","",IF(I16=0,0,IF(J16&lt;=0,"-",ROUNDUP(I16/J16,0))))</f>
        <v/>
      </c>
      <c r="L16" s="15">
        <f>IF(B16="","",IF(I16=0,"Conseguido",IF(ISNUMBER(K16),SUMPRODUCT(MAX((Semanal!$C$7:$C$66=B16)*Semanal!$B$7:$B$66))+7*K16,"-")))</f>
        <v/>
      </c>
      <c r="M16" s="12">
        <f>IF(B16="","",SUMIF(Semanal!$C$7:$C$66,B16,Semanal!$L$7:$L$66))</f>
        <v/>
      </c>
    </row>
    <row r="17">
      <c r="B17" s="16" t="inlineStr">
        <is>
          <t>Total</t>
        </is>
      </c>
      <c r="C17" s="17" t="n"/>
      <c r="D17" s="18">
        <f>SUM(D13:D16)</f>
        <v/>
      </c>
      <c r="E17" s="18">
        <f>SUM(E13:E16)</f>
        <v/>
      </c>
      <c r="F17" s="18">
        <f>SUM(F13:F16)</f>
        <v/>
      </c>
      <c r="G17" s="18">
        <f>SUM(G13:G16)</f>
        <v/>
      </c>
      <c r="H17" s="19">
        <f>IF(G17=0,0,MIN(F17/G17,1))</f>
        <v/>
      </c>
      <c r="I17" s="18">
        <f>SUM(I13:I16)</f>
        <v/>
      </c>
      <c r="J17" s="18">
        <f>SUM(J13:J16)</f>
        <v/>
      </c>
      <c r="K17" s="17" t="n"/>
      <c r="L17" s="17" t="n"/>
      <c r="M17" s="18">
        <f>SUM(M13:M16)</f>
        <v/>
      </c>
    </row>
    <row r="35">
      <c r="B35" s="8" t="inlineStr">
        <is>
          <t>LAS 5 TAREAS MÁS PAGADAS</t>
        </is>
      </c>
    </row>
    <row r="36" ht="30" customHeight="1">
      <c r="B36" s="9" t="inlineStr">
        <is>
          <t>Tarea</t>
        </is>
      </c>
      <c r="C36" s="9" t="inlineStr">
        <is>
          <t>Valor por vez</t>
        </is>
      </c>
      <c r="D36" s="9" t="inlineStr">
        <is>
          <t>Veces realizadas</t>
        </is>
      </c>
      <c r="E36" s="9" t="inlineStr">
        <is>
          <t>Total pagado</t>
        </is>
      </c>
    </row>
    <row r="37">
      <c r="B37" s="10">
        <f>IFERROR(INDEX(Ajustes!$B$15:$B$44,MATCH(LARGE(Ajustes!$G$15:$G$44,1),Ajustes!$G$15:$G$44,0)),"")</f>
        <v/>
      </c>
      <c r="C37" s="12">
        <f>IFERROR(INDEX(Ajustes!$C$15:$C$44,MATCH(LARGE(Ajustes!$G$15:$G$44,1),Ajustes!$G$15:$G$44,0)),"")</f>
        <v/>
      </c>
      <c r="D37" s="14">
        <f>IFERROR(INDEX(Ajustes!$E$15:$E$44,MATCH(LARGE(Ajustes!$G$15:$G$44,1),Ajustes!$G$15:$G$44,0)),"")</f>
        <v/>
      </c>
      <c r="E37" s="12">
        <f>IFERROR(INDEX(Ajustes!$F$15:$F$44,MATCH(LARGE(Ajustes!$G$15:$G$44,1),Ajustes!$G$15:$G$44,0)),"")</f>
        <v/>
      </c>
    </row>
    <row r="38">
      <c r="B38" s="10">
        <f>IFERROR(INDEX(Ajustes!$B$15:$B$44,MATCH(LARGE(Ajustes!$G$15:$G$44,2),Ajustes!$G$15:$G$44,0)),"")</f>
        <v/>
      </c>
      <c r="C38" s="12">
        <f>IFERROR(INDEX(Ajustes!$C$15:$C$44,MATCH(LARGE(Ajustes!$G$15:$G$44,2),Ajustes!$G$15:$G$44,0)),"")</f>
        <v/>
      </c>
      <c r="D38" s="14">
        <f>IFERROR(INDEX(Ajustes!$E$15:$E$44,MATCH(LARGE(Ajustes!$G$15:$G$44,2),Ajustes!$G$15:$G$44,0)),"")</f>
        <v/>
      </c>
      <c r="E38" s="12">
        <f>IFERROR(INDEX(Ajustes!$F$15:$F$44,MATCH(LARGE(Ajustes!$G$15:$G$44,2),Ajustes!$G$15:$G$44,0)),"")</f>
        <v/>
      </c>
    </row>
    <row r="39">
      <c r="B39" s="10">
        <f>IFERROR(INDEX(Ajustes!$B$15:$B$44,MATCH(LARGE(Ajustes!$G$15:$G$44,3),Ajustes!$G$15:$G$44,0)),"")</f>
        <v/>
      </c>
      <c r="C39" s="12">
        <f>IFERROR(INDEX(Ajustes!$C$15:$C$44,MATCH(LARGE(Ajustes!$G$15:$G$44,3),Ajustes!$G$15:$G$44,0)),"")</f>
        <v/>
      </c>
      <c r="D39" s="14">
        <f>IFERROR(INDEX(Ajustes!$E$15:$E$44,MATCH(LARGE(Ajustes!$G$15:$G$44,3),Ajustes!$G$15:$G$44,0)),"")</f>
        <v/>
      </c>
      <c r="E39" s="12">
        <f>IFERROR(INDEX(Ajustes!$F$15:$F$44,MATCH(LARGE(Ajustes!$G$15:$G$44,3),Ajustes!$G$15:$G$44,0)),"")</f>
        <v/>
      </c>
    </row>
    <row r="40">
      <c r="B40" s="10">
        <f>IFERROR(INDEX(Ajustes!$B$15:$B$44,MATCH(LARGE(Ajustes!$G$15:$G$44,4),Ajustes!$G$15:$G$44,0)),"")</f>
        <v/>
      </c>
      <c r="C40" s="12">
        <f>IFERROR(INDEX(Ajustes!$C$15:$C$44,MATCH(LARGE(Ajustes!$G$15:$G$44,4),Ajustes!$G$15:$G$44,0)),"")</f>
        <v/>
      </c>
      <c r="D40" s="14">
        <f>IFERROR(INDEX(Ajustes!$E$15:$E$44,MATCH(LARGE(Ajustes!$G$15:$G$44,4),Ajustes!$G$15:$G$44,0)),"")</f>
        <v/>
      </c>
      <c r="E40" s="12">
        <f>IFERROR(INDEX(Ajustes!$F$15:$F$44,MATCH(LARGE(Ajustes!$G$15:$G$44,4),Ajustes!$G$15:$G$44,0)),"")</f>
        <v/>
      </c>
    </row>
    <row r="41">
      <c r="B41" s="10">
        <f>IFERROR(INDEX(Ajustes!$B$15:$B$44,MATCH(LARGE(Ajustes!$G$15:$G$44,5),Ajustes!$G$15:$G$44,0)),"")</f>
        <v/>
      </c>
      <c r="C41" s="12">
        <f>IFERROR(INDEX(Ajustes!$C$15:$C$44,MATCH(LARGE(Ajustes!$G$15:$G$44,5),Ajustes!$G$15:$G$44,0)),"")</f>
        <v/>
      </c>
      <c r="D41" s="14">
        <f>IFERROR(INDEX(Ajustes!$E$15:$E$44,MATCH(LARGE(Ajustes!$G$15:$G$44,5),Ajustes!$G$15:$G$44,0)),"")</f>
        <v/>
      </c>
      <c r="E41" s="12">
        <f>IFERROR(INDEX(Ajustes!$F$15:$F$44,MATCH(LARGE(Ajustes!$G$15:$G$44,5),Ajustes!$G$15:$G$44,0)),"")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6">
    <mergeCell ref="B2:M2"/>
    <mergeCell ref="J5:K5"/>
    <mergeCell ref="F6:G6"/>
    <mergeCell ref="H9:I9"/>
    <mergeCell ref="J9:K9"/>
    <mergeCell ref="D6:E6"/>
    <mergeCell ref="H6:I6"/>
    <mergeCell ref="J6:K6"/>
    <mergeCell ref="F5:G5"/>
    <mergeCell ref="L5:M5"/>
    <mergeCell ref="L8:M8"/>
    <mergeCell ref="B8:C8"/>
    <mergeCell ref="F8:G8"/>
    <mergeCell ref="B9:C9"/>
    <mergeCell ref="D9:E9"/>
    <mergeCell ref="F9:G9"/>
    <mergeCell ref="L9:M9"/>
    <mergeCell ref="D8:E8"/>
    <mergeCell ref="B6:C6"/>
    <mergeCell ref="B3:M3"/>
    <mergeCell ref="L6:M6"/>
    <mergeCell ref="B5:C5"/>
    <mergeCell ref="D5:E5"/>
    <mergeCell ref="H5:I5"/>
    <mergeCell ref="H8:I8"/>
    <mergeCell ref="J8:K8"/>
  </mergeCells>
  <conditionalFormatting sqref="H13:H16">
    <cfRule type="dataBar" priority="1">
      <dataBar>
        <cfvo type="num" val="0"/>
        <cfvo type="max"/>
        <color rgb="0010B981"/>
      </dataBar>
    </cfRule>
  </conditionalFormatting>
  <conditionalFormatting sqref="L13:L16">
    <cfRule type="cellIs" priority="2" operator="equal" dxfId="0">
      <formula>"Conseguido"</formula>
    </cfRule>
  </conditionalFormatting>
  <conditionalFormatting sqref="E37:E41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G4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15" customWidth="1" min="3" max="3"/>
    <col width="24" customWidth="1" min="4" max="4"/>
    <col width="22" customWidth="1" min="5" max="5"/>
    <col width="16" customWidth="1" min="6" max="6"/>
    <col width="16" customWidth="1" min="7" max="7"/>
  </cols>
  <sheetData>
    <row r="2" ht="34" customHeight="1">
      <c r="B2" s="1" t="inlineStr">
        <is>
          <t>Ajustes: hijos, objetivos y tareas</t>
        </is>
      </c>
      <c r="C2" s="2" t="n"/>
      <c r="D2" s="2" t="n"/>
      <c r="E2" s="2" t="n"/>
      <c r="F2" s="2" t="n"/>
      <c r="G2" s="2" t="n"/>
    </row>
    <row r="3">
      <c r="B3" s="3" t="inlineStr">
        <is>
          <t>Define cuánto cobra cada hijo, qué % ahorra y cuánto vale cada tarea. Todo es editable.</t>
        </is>
      </c>
    </row>
    <row r="4">
      <c r="B4" s="20" t="inlineStr">
        <is>
          <t>La paga base es la cantidad fija por semana; lo que se gana con las tareas se suma encima. Importes de ejemplo editables.</t>
        </is>
      </c>
    </row>
    <row r="5">
      <c r="B5" s="8" t="inlineStr">
        <is>
          <t>HIJOS Y OBJETIVOS DE AHORRO</t>
        </is>
      </c>
    </row>
    <row r="6" ht="34" customHeight="1">
      <c r="B6" s="9" t="inlineStr">
        <is>
          <t>Hijo/a</t>
        </is>
      </c>
      <c r="C6" s="9" t="inlineStr">
        <is>
          <t>Paga base semanal</t>
        </is>
      </c>
      <c r="D6" s="9" t="inlineStr">
        <is>
          <t>% que ahorra de cada paga</t>
        </is>
      </c>
      <c r="E6" s="9" t="inlineStr">
        <is>
          <t>Objetivo de ahorro</t>
        </is>
      </c>
      <c r="F6" s="9" t="inlineStr">
        <is>
          <t>Importe del objetivo</t>
        </is>
      </c>
      <c r="G6" s="9" t="inlineStr">
        <is>
          <t>Ahorro inicial</t>
        </is>
      </c>
    </row>
    <row r="7">
      <c r="B7" s="21" t="inlineStr">
        <is>
          <t>Lucía</t>
        </is>
      </c>
      <c r="C7" s="22" t="n">
        <v>2</v>
      </c>
      <c r="D7" s="23" t="n">
        <v>0.3</v>
      </c>
      <c r="E7" s="21" t="inlineStr">
        <is>
          <t>Patinete eléctrico</t>
        </is>
      </c>
      <c r="F7" s="22" t="n">
        <v>60</v>
      </c>
      <c r="G7" s="22" t="n">
        <v>15</v>
      </c>
    </row>
    <row r="8">
      <c r="B8" s="21" t="inlineStr">
        <is>
          <t>Mateo</t>
        </is>
      </c>
      <c r="C8" s="22" t="n">
        <v>1</v>
      </c>
      <c r="D8" s="23" t="n">
        <v>0.4</v>
      </c>
      <c r="E8" s="21" t="inlineStr">
        <is>
          <t>Set de Lego</t>
        </is>
      </c>
      <c r="F8" s="22" t="n">
        <v>30</v>
      </c>
      <c r="G8" s="22" t="n">
        <v>5</v>
      </c>
    </row>
    <row r="9">
      <c r="B9" s="21" t="inlineStr">
        <is>
          <t>Hugo</t>
        </is>
      </c>
      <c r="C9" s="22" t="n">
        <v>4</v>
      </c>
      <c r="D9" s="23" t="n">
        <v>0.2</v>
      </c>
      <c r="E9" s="21" t="inlineStr">
        <is>
          <t>Zapatillas de deporte</t>
        </is>
      </c>
      <c r="F9" s="22" t="n">
        <v>60</v>
      </c>
      <c r="G9" s="22" t="n">
        <v>22</v>
      </c>
    </row>
    <row r="10">
      <c r="B10" s="21" t="n"/>
      <c r="C10" s="22" t="n"/>
      <c r="D10" s="23" t="n"/>
      <c r="E10" s="21" t="n"/>
      <c r="F10" s="22" t="n"/>
      <c r="G10" s="22" t="n"/>
    </row>
    <row r="13">
      <c r="B13" s="8" t="inlineStr">
        <is>
          <t>CATÁLOGO DE TAREAS Y SU VALOR</t>
        </is>
      </c>
    </row>
    <row r="14" ht="30" customHeight="1">
      <c r="B14" s="9" t="inlineStr">
        <is>
          <t>Tarea</t>
        </is>
      </c>
      <c r="C14" s="9" t="inlineStr">
        <is>
          <t>Valor por vez</t>
        </is>
      </c>
      <c r="D14" s="9" t="inlineStr">
        <is>
          <t>Frecuencia sugerida</t>
        </is>
      </c>
      <c r="E14" s="9" t="inlineStr">
        <is>
          <t>Veces realizadas</t>
        </is>
      </c>
      <c r="F14" s="9" t="inlineStr">
        <is>
          <t>Total pagado</t>
        </is>
      </c>
      <c r="G14" s="9" t="inlineStr">
        <is>
          <t>Aux. ranking</t>
        </is>
      </c>
    </row>
    <row r="15">
      <c r="B15" s="21" t="inlineStr">
        <is>
          <t>Poner la mesa</t>
        </is>
      </c>
      <c r="C15" s="22" t="n">
        <v>0.25</v>
      </c>
      <c r="D15" s="21" t="inlineStr">
        <is>
          <t>Diaria</t>
        </is>
      </c>
      <c r="E15" s="14">
        <f>IF(B15="","",SUMIFS(Registro!$E$7:$E$66,Registro!$D$7:$D$66,B15,Registro!$I$7:$I$66,"&lt;&gt;No"))</f>
        <v/>
      </c>
      <c r="F15" s="12">
        <f>IF(B15="","",SUMIF(Registro!$D$7:$D$66,B15,Registro!$G$7:$G$66))</f>
        <v/>
      </c>
      <c r="G15" s="24">
        <f>IF(B15="","",F15+ROW()/100000)</f>
        <v/>
      </c>
    </row>
    <row r="16">
      <c r="B16" s="21" t="inlineStr">
        <is>
          <t>Quitar la mesa</t>
        </is>
      </c>
      <c r="C16" s="22" t="n">
        <v>0.25</v>
      </c>
      <c r="D16" s="21" t="inlineStr">
        <is>
          <t>Diaria</t>
        </is>
      </c>
      <c r="E16" s="14">
        <f>IF(B16="","",SUMIFS(Registro!$E$7:$E$66,Registro!$D$7:$D$66,B16,Registro!$I$7:$I$66,"&lt;&gt;No"))</f>
        <v/>
      </c>
      <c r="F16" s="12">
        <f>IF(B16="","",SUMIF(Registro!$D$7:$D$66,B16,Registro!$G$7:$G$66))</f>
        <v/>
      </c>
      <c r="G16" s="24">
        <f>IF(B16="","",F16+ROW()/100000)</f>
        <v/>
      </c>
    </row>
    <row r="17">
      <c r="B17" s="21" t="inlineStr">
        <is>
          <t>Hacer la cama</t>
        </is>
      </c>
      <c r="C17" s="22" t="n">
        <v>0.2</v>
      </c>
      <c r="D17" s="21" t="inlineStr">
        <is>
          <t>Diaria</t>
        </is>
      </c>
      <c r="E17" s="14">
        <f>IF(B17="","",SUMIFS(Registro!$E$7:$E$66,Registro!$D$7:$D$66,B17,Registro!$I$7:$I$66,"&lt;&gt;No"))</f>
        <v/>
      </c>
      <c r="F17" s="12">
        <f>IF(B17="","",SUMIF(Registro!$D$7:$D$66,B17,Registro!$G$7:$G$66))</f>
        <v/>
      </c>
      <c r="G17" s="24">
        <f>IF(B17="","",F17+ROW()/100000)</f>
        <v/>
      </c>
    </row>
    <row r="18">
      <c r="B18" s="21" t="inlineStr">
        <is>
          <t>Sacar la basura</t>
        </is>
      </c>
      <c r="C18" s="22" t="n">
        <v>0.5</v>
      </c>
      <c r="D18" s="21" t="inlineStr">
        <is>
          <t>3-4 veces/semana</t>
        </is>
      </c>
      <c r="E18" s="14">
        <f>IF(B18="","",SUMIFS(Registro!$E$7:$E$66,Registro!$D$7:$D$66,B18,Registro!$I$7:$I$66,"&lt;&gt;No"))</f>
        <v/>
      </c>
      <c r="F18" s="12">
        <f>IF(B18="","",SUMIF(Registro!$D$7:$D$66,B18,Registro!$G$7:$G$66))</f>
        <v/>
      </c>
      <c r="G18" s="24">
        <f>IF(B18="","",F18+ROW()/100000)</f>
        <v/>
      </c>
    </row>
    <row r="19">
      <c r="B19" s="21" t="inlineStr">
        <is>
          <t>Pasear al perro</t>
        </is>
      </c>
      <c r="C19" s="22" t="n">
        <v>1</v>
      </c>
      <c r="D19" s="21" t="inlineStr">
        <is>
          <t>Diaria</t>
        </is>
      </c>
      <c r="E19" s="14">
        <f>IF(B19="","",SUMIFS(Registro!$E$7:$E$66,Registro!$D$7:$D$66,B19,Registro!$I$7:$I$66,"&lt;&gt;No"))</f>
        <v/>
      </c>
      <c r="F19" s="12">
        <f>IF(B19="","",SUMIF(Registro!$D$7:$D$66,B19,Registro!$G$7:$G$66))</f>
        <v/>
      </c>
      <c r="G19" s="24">
        <f>IF(B19="","",F19+ROW()/100000)</f>
        <v/>
      </c>
    </row>
    <row r="20">
      <c r="B20" s="21" t="inlineStr">
        <is>
          <t>Recoger la habitación</t>
        </is>
      </c>
      <c r="C20" s="22" t="n">
        <v>0.75</v>
      </c>
      <c r="D20" s="21" t="inlineStr">
        <is>
          <t>Diaria</t>
        </is>
      </c>
      <c r="E20" s="14">
        <f>IF(B20="","",SUMIFS(Registro!$E$7:$E$66,Registro!$D$7:$D$66,B20,Registro!$I$7:$I$66,"&lt;&gt;No"))</f>
        <v/>
      </c>
      <c r="F20" s="12">
        <f>IF(B20="","",SUMIF(Registro!$D$7:$D$66,B20,Registro!$G$7:$G$66))</f>
        <v/>
      </c>
      <c r="G20" s="24">
        <f>IF(B20="","",F20+ROW()/100000)</f>
        <v/>
      </c>
    </row>
    <row r="21">
      <c r="B21" s="21" t="inlineStr">
        <is>
          <t>Cargar el lavavajillas</t>
        </is>
      </c>
      <c r="C21" s="22" t="n">
        <v>0.5</v>
      </c>
      <c r="D21" s="21" t="inlineStr">
        <is>
          <t>Diaria</t>
        </is>
      </c>
      <c r="E21" s="14">
        <f>IF(B21="","",SUMIFS(Registro!$E$7:$E$66,Registro!$D$7:$D$66,B21,Registro!$I$7:$I$66,"&lt;&gt;No"))</f>
        <v/>
      </c>
      <c r="F21" s="12">
        <f>IF(B21="","",SUMIF(Registro!$D$7:$D$66,B21,Registro!$G$7:$G$66))</f>
        <v/>
      </c>
      <c r="G21" s="24">
        <f>IF(B21="","",F21+ROW()/100000)</f>
        <v/>
      </c>
    </row>
    <row r="22">
      <c r="B22" s="21" t="inlineStr">
        <is>
          <t>Doblar la ropa</t>
        </is>
      </c>
      <c r="C22" s="22" t="n">
        <v>0.75</v>
      </c>
      <c r="D22" s="21" t="inlineStr">
        <is>
          <t>2 veces/semana</t>
        </is>
      </c>
      <c r="E22" s="14">
        <f>IF(B22="","",SUMIFS(Registro!$E$7:$E$66,Registro!$D$7:$D$66,B22,Registro!$I$7:$I$66,"&lt;&gt;No"))</f>
        <v/>
      </c>
      <c r="F22" s="12">
        <f>IF(B22="","",SUMIF(Registro!$D$7:$D$66,B22,Registro!$G$7:$G$66))</f>
        <v/>
      </c>
      <c r="G22" s="24">
        <f>IF(B22="","",F22+ROW()/100000)</f>
        <v/>
      </c>
    </row>
    <row r="23">
      <c r="B23" s="21" t="inlineStr">
        <is>
          <t>Regar las plantas</t>
        </is>
      </c>
      <c r="C23" s="22" t="n">
        <v>0.3</v>
      </c>
      <c r="D23" s="21" t="inlineStr">
        <is>
          <t>2 veces/semana</t>
        </is>
      </c>
      <c r="E23" s="14">
        <f>IF(B23="","",SUMIFS(Registro!$E$7:$E$66,Registro!$D$7:$D$66,B23,Registro!$I$7:$I$66,"&lt;&gt;No"))</f>
        <v/>
      </c>
      <c r="F23" s="12">
        <f>IF(B23="","",SUMIF(Registro!$D$7:$D$66,B23,Registro!$G$7:$G$66))</f>
        <v/>
      </c>
      <c r="G23" s="24">
        <f>IF(B23="","",F23+ROW()/100000)</f>
        <v/>
      </c>
    </row>
    <row r="24">
      <c r="B24" s="21" t="inlineStr">
        <is>
          <t>Ordenar los juguetes</t>
        </is>
      </c>
      <c r="C24" s="22" t="n">
        <v>0.3</v>
      </c>
      <c r="D24" s="21" t="inlineStr">
        <is>
          <t>Diaria</t>
        </is>
      </c>
      <c r="E24" s="14">
        <f>IF(B24="","",SUMIFS(Registro!$E$7:$E$66,Registro!$D$7:$D$66,B24,Registro!$I$7:$I$66,"&lt;&gt;No"))</f>
        <v/>
      </c>
      <c r="F24" s="12">
        <f>IF(B24="","",SUMIF(Registro!$D$7:$D$66,B24,Registro!$G$7:$G$66))</f>
        <v/>
      </c>
      <c r="G24" s="24">
        <f>IF(B24="","",F24+ROW()/100000)</f>
        <v/>
      </c>
    </row>
    <row r="25">
      <c r="B25" s="21" t="inlineStr">
        <is>
          <t>Ayudar a cocinar</t>
        </is>
      </c>
      <c r="C25" s="22" t="n">
        <v>1</v>
      </c>
      <c r="D25" s="21" t="inlineStr">
        <is>
          <t>2-3 veces/semana</t>
        </is>
      </c>
      <c r="E25" s="14">
        <f>IF(B25="","",SUMIFS(Registro!$E$7:$E$66,Registro!$D$7:$D$66,B25,Registro!$I$7:$I$66,"&lt;&gt;No"))</f>
        <v/>
      </c>
      <c r="F25" s="12">
        <f>IF(B25="","",SUMIF(Registro!$D$7:$D$66,B25,Registro!$G$7:$G$66))</f>
        <v/>
      </c>
      <c r="G25" s="24">
        <f>IF(B25="","",F25+ROW()/100000)</f>
        <v/>
      </c>
    </row>
    <row r="26">
      <c r="B26" s="21" t="inlineStr">
        <is>
          <t>Pasar la aspiradora</t>
        </is>
      </c>
      <c r="C26" s="22" t="n">
        <v>1.5</v>
      </c>
      <c r="D26" s="21" t="inlineStr">
        <is>
          <t>Semanal</t>
        </is>
      </c>
      <c r="E26" s="14">
        <f>IF(B26="","",SUMIFS(Registro!$E$7:$E$66,Registro!$D$7:$D$66,B26,Registro!$I$7:$I$66,"&lt;&gt;No"))</f>
        <v/>
      </c>
      <c r="F26" s="12">
        <f>IF(B26="","",SUMIF(Registro!$D$7:$D$66,B26,Registro!$G$7:$G$66))</f>
        <v/>
      </c>
      <c r="G26" s="24">
        <f>IF(B26="","",F26+ROW()/100000)</f>
        <v/>
      </c>
    </row>
    <row r="27">
      <c r="B27" s="21" t="inlineStr">
        <is>
          <t>Limpiar el baño</t>
        </is>
      </c>
      <c r="C27" s="22" t="n">
        <v>2</v>
      </c>
      <c r="D27" s="21" t="inlineStr">
        <is>
          <t>Semanal</t>
        </is>
      </c>
      <c r="E27" s="14">
        <f>IF(B27="","",SUMIFS(Registro!$E$7:$E$66,Registro!$D$7:$D$66,B27,Registro!$I$7:$I$66,"&lt;&gt;No"))</f>
        <v/>
      </c>
      <c r="F27" s="12">
        <f>IF(B27="","",SUMIF(Registro!$D$7:$D$66,B27,Registro!$G$7:$G$66))</f>
        <v/>
      </c>
      <c r="G27" s="24">
        <f>IF(B27="","",F27+ROW()/100000)</f>
        <v/>
      </c>
    </row>
    <row r="28">
      <c r="B28" s="21" t="inlineStr">
        <is>
          <t>Barrer la cocina</t>
        </is>
      </c>
      <c r="C28" s="22" t="n">
        <v>0.5</v>
      </c>
      <c r="D28" s="21" t="inlineStr">
        <is>
          <t>2 veces/semana</t>
        </is>
      </c>
      <c r="E28" s="14">
        <f>IF(B28="","",SUMIFS(Registro!$E$7:$E$66,Registro!$D$7:$D$66,B28,Registro!$I$7:$I$66,"&lt;&gt;No"))</f>
        <v/>
      </c>
      <c r="F28" s="12">
        <f>IF(B28="","",SUMIF(Registro!$D$7:$D$66,B28,Registro!$G$7:$G$66))</f>
        <v/>
      </c>
      <c r="G28" s="24">
        <f>IF(B28="","",F28+ROW()/100000)</f>
        <v/>
      </c>
    </row>
    <row r="29">
      <c r="B29" s="21" t="n"/>
      <c r="C29" s="22" t="n"/>
      <c r="D29" s="21" t="n"/>
      <c r="E29" s="14">
        <f>IF(B29="","",SUMIFS(Registro!$E$7:$E$66,Registro!$D$7:$D$66,B29,Registro!$I$7:$I$66,"&lt;&gt;No"))</f>
        <v/>
      </c>
      <c r="F29" s="12">
        <f>IF(B29="","",SUMIF(Registro!$D$7:$D$66,B29,Registro!$G$7:$G$66))</f>
        <v/>
      </c>
      <c r="G29" s="24">
        <f>IF(B29="","",F29+ROW()/100000)</f>
        <v/>
      </c>
    </row>
    <row r="30">
      <c r="B30" s="21" t="n"/>
      <c r="C30" s="22" t="n"/>
      <c r="D30" s="21" t="n"/>
      <c r="E30" s="14">
        <f>IF(B30="","",SUMIFS(Registro!$E$7:$E$66,Registro!$D$7:$D$66,B30,Registro!$I$7:$I$66,"&lt;&gt;No"))</f>
        <v/>
      </c>
      <c r="F30" s="12">
        <f>IF(B30="","",SUMIF(Registro!$D$7:$D$66,B30,Registro!$G$7:$G$66))</f>
        <v/>
      </c>
      <c r="G30" s="24">
        <f>IF(B30="","",F30+ROW()/100000)</f>
        <v/>
      </c>
    </row>
    <row r="31">
      <c r="B31" s="21" t="n"/>
      <c r="C31" s="22" t="n"/>
      <c r="D31" s="21" t="n"/>
      <c r="E31" s="14">
        <f>IF(B31="","",SUMIFS(Registro!$E$7:$E$66,Registro!$D$7:$D$66,B31,Registro!$I$7:$I$66,"&lt;&gt;No"))</f>
        <v/>
      </c>
      <c r="F31" s="12">
        <f>IF(B31="","",SUMIF(Registro!$D$7:$D$66,B31,Registro!$G$7:$G$66))</f>
        <v/>
      </c>
      <c r="G31" s="24">
        <f>IF(B31="","",F31+ROW()/100000)</f>
        <v/>
      </c>
    </row>
    <row r="32">
      <c r="B32" s="21" t="n"/>
      <c r="C32" s="22" t="n"/>
      <c r="D32" s="21" t="n"/>
      <c r="E32" s="14">
        <f>IF(B32="","",SUMIFS(Registro!$E$7:$E$66,Registro!$D$7:$D$66,B32,Registro!$I$7:$I$66,"&lt;&gt;No"))</f>
        <v/>
      </c>
      <c r="F32" s="12">
        <f>IF(B32="","",SUMIF(Registro!$D$7:$D$66,B32,Registro!$G$7:$G$66))</f>
        <v/>
      </c>
      <c r="G32" s="24">
        <f>IF(B32="","",F32+ROW()/100000)</f>
        <v/>
      </c>
    </row>
    <row r="33">
      <c r="B33" s="21" t="n"/>
      <c r="C33" s="22" t="n"/>
      <c r="D33" s="21" t="n"/>
      <c r="E33" s="14">
        <f>IF(B33="","",SUMIFS(Registro!$E$7:$E$66,Registro!$D$7:$D$66,B33,Registro!$I$7:$I$66,"&lt;&gt;No"))</f>
        <v/>
      </c>
      <c r="F33" s="12">
        <f>IF(B33="","",SUMIF(Registro!$D$7:$D$66,B33,Registro!$G$7:$G$66))</f>
        <v/>
      </c>
      <c r="G33" s="24">
        <f>IF(B33="","",F33+ROW()/100000)</f>
        <v/>
      </c>
    </row>
    <row r="34">
      <c r="B34" s="21" t="n"/>
      <c r="C34" s="22" t="n"/>
      <c r="D34" s="21" t="n"/>
      <c r="E34" s="14">
        <f>IF(B34="","",SUMIFS(Registro!$E$7:$E$66,Registro!$D$7:$D$66,B34,Registro!$I$7:$I$66,"&lt;&gt;No"))</f>
        <v/>
      </c>
      <c r="F34" s="12">
        <f>IF(B34="","",SUMIF(Registro!$D$7:$D$66,B34,Registro!$G$7:$G$66))</f>
        <v/>
      </c>
      <c r="G34" s="24">
        <f>IF(B34="","",F34+ROW()/100000)</f>
        <v/>
      </c>
    </row>
    <row r="35">
      <c r="B35" s="21" t="n"/>
      <c r="C35" s="22" t="n"/>
      <c r="D35" s="21" t="n"/>
      <c r="E35" s="14">
        <f>IF(B35="","",SUMIFS(Registro!$E$7:$E$66,Registro!$D$7:$D$66,B35,Registro!$I$7:$I$66,"&lt;&gt;No"))</f>
        <v/>
      </c>
      <c r="F35" s="12">
        <f>IF(B35="","",SUMIF(Registro!$D$7:$D$66,B35,Registro!$G$7:$G$66))</f>
        <v/>
      </c>
      <c r="G35" s="24">
        <f>IF(B35="","",F35+ROW()/100000)</f>
        <v/>
      </c>
    </row>
    <row r="36">
      <c r="B36" s="21" t="n"/>
      <c r="C36" s="22" t="n"/>
      <c r="D36" s="21" t="n"/>
      <c r="E36" s="14">
        <f>IF(B36="","",SUMIFS(Registro!$E$7:$E$66,Registro!$D$7:$D$66,B36,Registro!$I$7:$I$66,"&lt;&gt;No"))</f>
        <v/>
      </c>
      <c r="F36" s="12">
        <f>IF(B36="","",SUMIF(Registro!$D$7:$D$66,B36,Registro!$G$7:$G$66))</f>
        <v/>
      </c>
      <c r="G36" s="24">
        <f>IF(B36="","",F36+ROW()/100000)</f>
        <v/>
      </c>
    </row>
    <row r="37">
      <c r="B37" s="21" t="n"/>
      <c r="C37" s="22" t="n"/>
      <c r="D37" s="21" t="n"/>
      <c r="E37" s="14">
        <f>IF(B37="","",SUMIFS(Registro!$E$7:$E$66,Registro!$D$7:$D$66,B37,Registro!$I$7:$I$66,"&lt;&gt;No"))</f>
        <v/>
      </c>
      <c r="F37" s="12">
        <f>IF(B37="","",SUMIF(Registro!$D$7:$D$66,B37,Registro!$G$7:$G$66))</f>
        <v/>
      </c>
      <c r="G37" s="24">
        <f>IF(B37="","",F37+ROW()/100000)</f>
        <v/>
      </c>
    </row>
    <row r="38">
      <c r="B38" s="21" t="n"/>
      <c r="C38" s="22" t="n"/>
      <c r="D38" s="21" t="n"/>
      <c r="E38" s="14">
        <f>IF(B38="","",SUMIFS(Registro!$E$7:$E$66,Registro!$D$7:$D$66,B38,Registro!$I$7:$I$66,"&lt;&gt;No"))</f>
        <v/>
      </c>
      <c r="F38" s="12">
        <f>IF(B38="","",SUMIF(Registro!$D$7:$D$66,B38,Registro!$G$7:$G$66))</f>
        <v/>
      </c>
      <c r="G38" s="24">
        <f>IF(B38="","",F38+ROW()/100000)</f>
        <v/>
      </c>
    </row>
    <row r="39">
      <c r="B39" s="21" t="n"/>
      <c r="C39" s="22" t="n"/>
      <c r="D39" s="21" t="n"/>
      <c r="E39" s="14">
        <f>IF(B39="","",SUMIFS(Registro!$E$7:$E$66,Registro!$D$7:$D$66,B39,Registro!$I$7:$I$66,"&lt;&gt;No"))</f>
        <v/>
      </c>
      <c r="F39" s="12">
        <f>IF(B39="","",SUMIF(Registro!$D$7:$D$66,B39,Registro!$G$7:$G$66))</f>
        <v/>
      </c>
      <c r="G39" s="24">
        <f>IF(B39="","",F39+ROW()/100000)</f>
        <v/>
      </c>
    </row>
    <row r="40">
      <c r="B40" s="21" t="n"/>
      <c r="C40" s="22" t="n"/>
      <c r="D40" s="21" t="n"/>
      <c r="E40" s="14">
        <f>IF(B40="","",SUMIFS(Registro!$E$7:$E$66,Registro!$D$7:$D$66,B40,Registro!$I$7:$I$66,"&lt;&gt;No"))</f>
        <v/>
      </c>
      <c r="F40" s="12">
        <f>IF(B40="","",SUMIF(Registro!$D$7:$D$66,B40,Registro!$G$7:$G$66))</f>
        <v/>
      </c>
      <c r="G40" s="24">
        <f>IF(B40="","",F40+ROW()/100000)</f>
        <v/>
      </c>
    </row>
    <row r="41">
      <c r="B41" s="21" t="n"/>
      <c r="C41" s="22" t="n"/>
      <c r="D41" s="21" t="n"/>
      <c r="E41" s="14">
        <f>IF(B41="","",SUMIFS(Registro!$E$7:$E$66,Registro!$D$7:$D$66,B41,Registro!$I$7:$I$66,"&lt;&gt;No"))</f>
        <v/>
      </c>
      <c r="F41" s="12">
        <f>IF(B41="","",SUMIF(Registro!$D$7:$D$66,B41,Registro!$G$7:$G$66))</f>
        <v/>
      </c>
      <c r="G41" s="24">
        <f>IF(B41="","",F41+ROW()/100000)</f>
        <v/>
      </c>
    </row>
    <row r="42">
      <c r="B42" s="21" t="n"/>
      <c r="C42" s="22" t="n"/>
      <c r="D42" s="21" t="n"/>
      <c r="E42" s="14">
        <f>IF(B42="","",SUMIFS(Registro!$E$7:$E$66,Registro!$D$7:$D$66,B42,Registro!$I$7:$I$66,"&lt;&gt;No"))</f>
        <v/>
      </c>
      <c r="F42" s="12">
        <f>IF(B42="","",SUMIF(Registro!$D$7:$D$66,B42,Registro!$G$7:$G$66))</f>
        <v/>
      </c>
      <c r="G42" s="24">
        <f>IF(B42="","",F42+ROW()/100000)</f>
        <v/>
      </c>
    </row>
    <row r="43">
      <c r="B43" s="21" t="n"/>
      <c r="C43" s="22" t="n"/>
      <c r="D43" s="21" t="n"/>
      <c r="E43" s="14">
        <f>IF(B43="","",SUMIFS(Registro!$E$7:$E$66,Registro!$D$7:$D$66,B43,Registro!$I$7:$I$66,"&lt;&gt;No"))</f>
        <v/>
      </c>
      <c r="F43" s="12">
        <f>IF(B43="","",SUMIF(Registro!$D$7:$D$66,B43,Registro!$G$7:$G$66))</f>
        <v/>
      </c>
      <c r="G43" s="24">
        <f>IF(B43="","",F43+ROW()/100000)</f>
        <v/>
      </c>
    </row>
    <row r="44">
      <c r="B44" s="21" t="n"/>
      <c r="C44" s="22" t="n"/>
      <c r="D44" s="21" t="n"/>
      <c r="E44" s="14">
        <f>IF(B44="","",SUMIFS(Registro!$E$7:$E$66,Registro!$D$7:$D$66,B44,Registro!$I$7:$I$66,"&lt;&gt;No"))</f>
        <v/>
      </c>
      <c r="F44" s="12">
        <f>IF(B44="","",SUMIF(Registro!$D$7:$D$66,B44,Registro!$G$7:$G$66))</f>
        <v/>
      </c>
      <c r="G44" s="24">
        <f>IF(B44="","",F44+ROW()/100000)</f>
        <v/>
      </c>
    </row>
    <row r="46">
      <c r="B46" s="20" t="inlineStr">
        <is>
          <t>La columna Aux. ranking (G) sirve para ordenar las tareas más pagadas en el Panel: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F7:F10">
    <cfRule type="dataBar" priority="1">
      <dataBar>
        <cfvo type="num" val="0"/>
        <cfvo type="max"/>
        <color rgb="0010B981"/>
      </dataBar>
    </cfRule>
  </conditionalFormatting>
  <conditionalFormatting sqref="F15:F44">
    <cfRule type="dataBar" priority="2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6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26" customWidth="1" min="4" max="4"/>
    <col width="9" customWidth="1" min="5" max="5"/>
    <col width="12" customWidth="1" min="6" max="6"/>
    <col width="12" customWidth="1" min="7" max="7"/>
    <col width="13" customWidth="1" min="8" max="8"/>
    <col width="11" customWidth="1" min="9" max="9"/>
    <col width="3" customWidth="1" min="10" max="10"/>
    <col width="12" customWidth="1" min="11" max="11"/>
    <col width="12" customWidth="1" min="12" max="12"/>
    <col width="11" customWidth="1" min="13" max="13"/>
    <col width="26" customWidth="1" min="14" max="14"/>
    <col width="12" customWidth="1" min="15" max="15"/>
    <col width="13" customWidth="1" min="16" max="16"/>
  </cols>
  <sheetData>
    <row r="2" ht="34" customHeight="1">
      <c r="B2" s="1" t="inlineStr">
        <is>
          <t>Registro de tareas, gastos y regalos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A la izquierda, las tareas hechas cada día; a la derecha, lo que gasta el niño o recibe como regalo.</t>
        </is>
      </c>
    </row>
    <row r="5">
      <c r="B5" s="8" t="inlineStr">
        <is>
          <t>TAREAS HECHAS</t>
        </is>
      </c>
      <c r="K5" s="8" t="inlineStr">
        <is>
          <t>GASTOS Y REGALOS</t>
        </is>
      </c>
    </row>
    <row r="6" ht="32" customHeight="1">
      <c r="B6" s="9" t="inlineStr">
        <is>
          <t>Fecha</t>
        </is>
      </c>
      <c r="C6" s="9" t="inlineStr">
        <is>
          <t>Hijo/a</t>
        </is>
      </c>
      <c r="D6" s="9" t="inlineStr">
        <is>
          <t>Tarea</t>
        </is>
      </c>
      <c r="E6" s="9" t="inlineStr">
        <is>
          <t>Veces</t>
        </is>
      </c>
      <c r="F6" s="9" t="inlineStr">
        <is>
          <t>Valor por vez</t>
        </is>
      </c>
      <c r="G6" s="9" t="inlineStr">
        <is>
          <t>Ganado</t>
        </is>
      </c>
      <c r="H6" s="9" t="inlineStr">
        <is>
          <t>Semana (lunes)</t>
        </is>
      </c>
      <c r="I6" s="9" t="inlineStr">
        <is>
          <t>¿Validada?</t>
        </is>
      </c>
      <c r="K6" s="9" t="inlineStr">
        <is>
          <t>Fecha</t>
        </is>
      </c>
      <c r="L6" s="9" t="inlineStr">
        <is>
          <t>Hijo/a</t>
        </is>
      </c>
      <c r="M6" s="9" t="inlineStr">
        <is>
          <t>Tipo</t>
        </is>
      </c>
      <c r="N6" s="9" t="inlineStr">
        <is>
          <t>Concepto</t>
        </is>
      </c>
      <c r="O6" s="9" t="inlineStr">
        <is>
          <t>Importe</t>
        </is>
      </c>
      <c r="P6" s="9" t="inlineStr">
        <is>
          <t>Semana (lunes)</t>
        </is>
      </c>
    </row>
    <row r="7">
      <c r="B7" s="25" t="n">
        <v>46276</v>
      </c>
      <c r="C7" s="26" t="inlineStr">
        <is>
          <t>Lucía</t>
        </is>
      </c>
      <c r="D7" s="21" t="inlineStr">
        <is>
          <t>Poner la mesa</t>
        </is>
      </c>
      <c r="E7" s="27" t="n">
        <v>5</v>
      </c>
      <c r="F7" s="12">
        <f>IF(D7="","",IFERROR(VLOOKUP(D7,Ajustes!$B$15:$C$44,2,FALSE),0))</f>
        <v/>
      </c>
      <c r="G7" s="12">
        <f>IF(OR(B7="",D7="",E7=""),"",IF(I7="No",0,ROUND(E7*F7,2)))</f>
        <v/>
      </c>
      <c r="H7" s="15">
        <f>IF(B7="","",B7-WEEKDAY(B7,2)+1)</f>
        <v/>
      </c>
      <c r="I7" s="26" t="inlineStr">
        <is>
          <t>Sí</t>
        </is>
      </c>
      <c r="K7" s="25" t="n">
        <v>46277</v>
      </c>
      <c r="L7" s="26" t="inlineStr">
        <is>
          <t>Lucía</t>
        </is>
      </c>
      <c r="M7" s="26" t="inlineStr">
        <is>
          <t>Gasto</t>
        </is>
      </c>
      <c r="N7" s="21" t="inlineStr">
        <is>
          <t>Pulseras</t>
        </is>
      </c>
      <c r="O7" s="22" t="n">
        <v>3.5</v>
      </c>
      <c r="P7" s="15">
        <f>IF(K7="","",K7-WEEKDAY(K7,2)+1)</f>
        <v/>
      </c>
    </row>
    <row r="8">
      <c r="B8" s="25" t="n">
        <v>46277</v>
      </c>
      <c r="C8" s="26" t="inlineStr">
        <is>
          <t>Lucía</t>
        </is>
      </c>
      <c r="D8" s="21" t="inlineStr">
        <is>
          <t>Pasear al perro</t>
        </is>
      </c>
      <c r="E8" s="27" t="n">
        <v>3</v>
      </c>
      <c r="F8" s="12">
        <f>IF(D8="","",IFERROR(VLOOKUP(D8,Ajustes!$B$15:$C$44,2,FALSE),0))</f>
        <v/>
      </c>
      <c r="G8" s="12">
        <f>IF(OR(B8="",D8="",E8=""),"",IF(I8="No",0,ROUND(E8*F8,2)))</f>
        <v/>
      </c>
      <c r="H8" s="15">
        <f>IF(B8="","",B8-WEEKDAY(B8,2)+1)</f>
        <v/>
      </c>
      <c r="I8" s="26" t="inlineStr">
        <is>
          <t>Sí</t>
        </is>
      </c>
      <c r="K8" s="25" t="n">
        <v>46278</v>
      </c>
      <c r="L8" s="26" t="inlineStr">
        <is>
          <t>Mateo</t>
        </is>
      </c>
      <c r="M8" s="26" t="inlineStr">
        <is>
          <t>Gasto</t>
        </is>
      </c>
      <c r="N8" s="21" t="inlineStr">
        <is>
          <t>Cromos</t>
        </is>
      </c>
      <c r="O8" s="22" t="n">
        <v>2</v>
      </c>
      <c r="P8" s="15">
        <f>IF(K8="","",K8-WEEKDAY(K8,2)+1)</f>
        <v/>
      </c>
    </row>
    <row r="9">
      <c r="B9" s="25" t="n">
        <v>46276</v>
      </c>
      <c r="C9" s="26" t="inlineStr">
        <is>
          <t>Mateo</t>
        </is>
      </c>
      <c r="D9" s="21" t="inlineStr">
        <is>
          <t>Hacer la cama</t>
        </is>
      </c>
      <c r="E9" s="27" t="n">
        <v>6</v>
      </c>
      <c r="F9" s="12">
        <f>IF(D9="","",IFERROR(VLOOKUP(D9,Ajustes!$B$15:$C$44,2,FALSE),0))</f>
        <v/>
      </c>
      <c r="G9" s="12">
        <f>IF(OR(B9="",D9="",E9=""),"",IF(I9="No",0,ROUND(E9*F9,2)))</f>
        <v/>
      </c>
      <c r="H9" s="15">
        <f>IF(B9="","",B9-WEEKDAY(B9,2)+1)</f>
        <v/>
      </c>
      <c r="I9" s="26" t="inlineStr">
        <is>
          <t>Sí</t>
        </is>
      </c>
      <c r="K9" s="25" t="n">
        <v>46284</v>
      </c>
      <c r="L9" s="26" t="inlineStr">
        <is>
          <t>Hugo</t>
        </is>
      </c>
      <c r="M9" s="26" t="inlineStr">
        <is>
          <t>Gasto</t>
        </is>
      </c>
      <c r="N9" s="21" t="inlineStr">
        <is>
          <t>Cine y palomitas</t>
        </is>
      </c>
      <c r="O9" s="22" t="n">
        <v>6</v>
      </c>
      <c r="P9" s="15">
        <f>IF(K9="","",K9-WEEKDAY(K9,2)+1)</f>
        <v/>
      </c>
    </row>
    <row r="10">
      <c r="B10" s="25" t="n">
        <v>46278</v>
      </c>
      <c r="C10" s="26" t="inlineStr">
        <is>
          <t>Mateo</t>
        </is>
      </c>
      <c r="D10" s="21" t="inlineStr">
        <is>
          <t>Ordenar los juguetes</t>
        </is>
      </c>
      <c r="E10" s="27" t="n">
        <v>4</v>
      </c>
      <c r="F10" s="12">
        <f>IF(D10="","",IFERROR(VLOOKUP(D10,Ajustes!$B$15:$C$44,2,FALSE),0))</f>
        <v/>
      </c>
      <c r="G10" s="12">
        <f>IF(OR(B10="",D10="",E10=""),"",IF(I10="No",0,ROUND(E10*F10,2)))</f>
        <v/>
      </c>
      <c r="H10" s="15">
        <f>IF(B10="","",B10-WEEKDAY(B10,2)+1)</f>
        <v/>
      </c>
      <c r="I10" s="26" t="inlineStr">
        <is>
          <t>Sí</t>
        </is>
      </c>
      <c r="K10" s="25" t="n">
        <v>46285</v>
      </c>
      <c r="L10" s="26" t="inlineStr">
        <is>
          <t>Lucía</t>
        </is>
      </c>
      <c r="M10" s="26" t="inlineStr">
        <is>
          <t>Regalo</t>
        </is>
      </c>
      <c r="N10" s="21" t="inlineStr">
        <is>
          <t>Regalo de la abuela</t>
        </is>
      </c>
      <c r="O10" s="22" t="n">
        <v>10</v>
      </c>
      <c r="P10" s="15">
        <f>IF(K10="","",K10-WEEKDAY(K10,2)+1)</f>
        <v/>
      </c>
    </row>
    <row r="11">
      <c r="B11" s="25" t="n">
        <v>46277</v>
      </c>
      <c r="C11" s="26" t="inlineStr">
        <is>
          <t>Hugo</t>
        </is>
      </c>
      <c r="D11" s="21" t="inlineStr">
        <is>
          <t>Sacar la basura</t>
        </is>
      </c>
      <c r="E11" s="27" t="n">
        <v>4</v>
      </c>
      <c r="F11" s="12">
        <f>IF(D11="","",IFERROR(VLOOKUP(D11,Ajustes!$B$15:$C$44,2,FALSE),0))</f>
        <v/>
      </c>
      <c r="G11" s="12">
        <f>IF(OR(B11="",D11="",E11=""),"",IF(I11="No",0,ROUND(E11*F11,2)))</f>
        <v/>
      </c>
      <c r="H11" s="15">
        <f>IF(B11="","",B11-WEEKDAY(B11,2)+1)</f>
        <v/>
      </c>
      <c r="I11" s="26" t="inlineStr">
        <is>
          <t>Sí</t>
        </is>
      </c>
      <c r="K11" s="25" t="n">
        <v>46287</v>
      </c>
      <c r="L11" s="26" t="inlineStr">
        <is>
          <t>Mateo</t>
        </is>
      </c>
      <c r="M11" s="26" t="inlineStr">
        <is>
          <t>Regalo</t>
        </is>
      </c>
      <c r="N11" s="21" t="inlineStr">
        <is>
          <t>Cumpleaños de la tía</t>
        </is>
      </c>
      <c r="O11" s="22" t="n">
        <v>5</v>
      </c>
      <c r="P11" s="15">
        <f>IF(K11="","",K11-WEEKDAY(K11,2)+1)</f>
        <v/>
      </c>
    </row>
    <row r="12">
      <c r="B12" s="25" t="n">
        <v>46278</v>
      </c>
      <c r="C12" s="26" t="inlineStr">
        <is>
          <t>Hugo</t>
        </is>
      </c>
      <c r="D12" s="21" t="inlineStr">
        <is>
          <t>Pasar la aspiradora</t>
        </is>
      </c>
      <c r="E12" s="27" t="n">
        <v>1</v>
      </c>
      <c r="F12" s="12">
        <f>IF(D12="","",IFERROR(VLOOKUP(D12,Ajustes!$B$15:$C$44,2,FALSE),0))</f>
        <v/>
      </c>
      <c r="G12" s="12">
        <f>IF(OR(B12="",D12="",E12=""),"",IF(I12="No",0,ROUND(E12*F12,2)))</f>
        <v/>
      </c>
      <c r="H12" s="15">
        <f>IF(B12="","",B12-WEEKDAY(B12,2)+1)</f>
        <v/>
      </c>
      <c r="I12" s="26" t="inlineStr">
        <is>
          <t>Sí</t>
        </is>
      </c>
      <c r="K12" s="25" t="n">
        <v>46291</v>
      </c>
      <c r="L12" s="26" t="inlineStr">
        <is>
          <t>Mateo</t>
        </is>
      </c>
      <c r="M12" s="26" t="inlineStr">
        <is>
          <t>Gasto</t>
        </is>
      </c>
      <c r="N12" s="21" t="inlineStr">
        <is>
          <t>Helado</t>
        </is>
      </c>
      <c r="O12" s="22" t="n">
        <v>1.5</v>
      </c>
      <c r="P12" s="15">
        <f>IF(K12="","",K12-WEEKDAY(K12,2)+1)</f>
        <v/>
      </c>
    </row>
    <row r="13">
      <c r="B13" s="25" t="n">
        <v>46283</v>
      </c>
      <c r="C13" s="26" t="inlineStr">
        <is>
          <t>Lucía</t>
        </is>
      </c>
      <c r="D13" s="21" t="inlineStr">
        <is>
          <t>Cargar el lavavajillas</t>
        </is>
      </c>
      <c r="E13" s="27" t="n">
        <v>4</v>
      </c>
      <c r="F13" s="12">
        <f>IF(D13="","",IFERROR(VLOOKUP(D13,Ajustes!$B$15:$C$44,2,FALSE),0))</f>
        <v/>
      </c>
      <c r="G13" s="12">
        <f>IF(OR(B13="",D13="",E13=""),"",IF(I13="No",0,ROUND(E13*F13,2)))</f>
        <v/>
      </c>
      <c r="H13" s="15">
        <f>IF(B13="","",B13-WEEKDAY(B13,2)+1)</f>
        <v/>
      </c>
      <c r="I13" s="26" t="inlineStr">
        <is>
          <t>Sí</t>
        </is>
      </c>
      <c r="K13" s="25" t="n">
        <v>46291</v>
      </c>
      <c r="L13" s="26" t="inlineStr">
        <is>
          <t>Lucía</t>
        </is>
      </c>
      <c r="M13" s="26" t="inlineStr">
        <is>
          <t>Gasto</t>
        </is>
      </c>
      <c r="N13" s="21" t="inlineStr">
        <is>
          <t>Chuches</t>
        </is>
      </c>
      <c r="O13" s="22" t="n">
        <v>2</v>
      </c>
      <c r="P13" s="15">
        <f>IF(K13="","",K13-WEEKDAY(K13,2)+1)</f>
        <v/>
      </c>
    </row>
    <row r="14">
      <c r="B14" s="25" t="n">
        <v>46284</v>
      </c>
      <c r="C14" s="26" t="inlineStr">
        <is>
          <t>Lucía</t>
        </is>
      </c>
      <c r="D14" s="21" t="inlineStr">
        <is>
          <t>Doblar la ropa</t>
        </is>
      </c>
      <c r="E14" s="27" t="n">
        <v>2</v>
      </c>
      <c r="F14" s="12">
        <f>IF(D14="","",IFERROR(VLOOKUP(D14,Ajustes!$B$15:$C$44,2,FALSE),0))</f>
        <v/>
      </c>
      <c r="G14" s="12">
        <f>IF(OR(B14="",D14="",E14=""),"",IF(I14="No",0,ROUND(E14*F14,2)))</f>
        <v/>
      </c>
      <c r="H14" s="15">
        <f>IF(B14="","",B14-WEEKDAY(B14,2)+1)</f>
        <v/>
      </c>
      <c r="I14" s="26" t="inlineStr">
        <is>
          <t>Sí</t>
        </is>
      </c>
      <c r="K14" s="25" t="n">
        <v>46292</v>
      </c>
      <c r="L14" s="26" t="inlineStr">
        <is>
          <t>Hugo</t>
        </is>
      </c>
      <c r="M14" s="26" t="inlineStr">
        <is>
          <t>Gasto</t>
        </is>
      </c>
      <c r="N14" s="21" t="inlineStr">
        <is>
          <t>Bocadillo con amigos</t>
        </is>
      </c>
      <c r="O14" s="22" t="n">
        <v>4.5</v>
      </c>
      <c r="P14" s="15">
        <f>IF(K14="","",K14-WEEKDAY(K14,2)+1)</f>
        <v/>
      </c>
    </row>
    <row r="15">
      <c r="B15" s="25" t="n">
        <v>46283</v>
      </c>
      <c r="C15" s="26" t="inlineStr">
        <is>
          <t>Mateo</t>
        </is>
      </c>
      <c r="D15" s="21" t="inlineStr">
        <is>
          <t>Poner la mesa</t>
        </is>
      </c>
      <c r="E15" s="27" t="n">
        <v>5</v>
      </c>
      <c r="F15" s="12">
        <f>IF(D15="","",IFERROR(VLOOKUP(D15,Ajustes!$B$15:$C$44,2,FALSE),0))</f>
        <v/>
      </c>
      <c r="G15" s="12">
        <f>IF(OR(B15="",D15="",E15=""),"",IF(I15="No",0,ROUND(E15*F15,2)))</f>
        <v/>
      </c>
      <c r="H15" s="15">
        <f>IF(B15="","",B15-WEEKDAY(B15,2)+1)</f>
        <v/>
      </c>
      <c r="I15" s="26" t="inlineStr">
        <is>
          <t>Sí</t>
        </is>
      </c>
      <c r="K15" s="25" t="n">
        <v>46295</v>
      </c>
      <c r="L15" s="26" t="inlineStr">
        <is>
          <t>Lucía</t>
        </is>
      </c>
      <c r="M15" s="26" t="inlineStr">
        <is>
          <t>Gasto</t>
        </is>
      </c>
      <c r="N15" s="21" t="inlineStr">
        <is>
          <t>Libro de aventuras</t>
        </is>
      </c>
      <c r="O15" s="22" t="n">
        <v>5</v>
      </c>
      <c r="P15" s="15">
        <f>IF(K15="","",K15-WEEKDAY(K15,2)+1)</f>
        <v/>
      </c>
    </row>
    <row r="16">
      <c r="B16" s="25" t="n">
        <v>46285</v>
      </c>
      <c r="C16" s="26" t="inlineStr">
        <is>
          <t>Mateo</t>
        </is>
      </c>
      <c r="D16" s="21" t="inlineStr">
        <is>
          <t>Regar las plantas</t>
        </is>
      </c>
      <c r="E16" s="27" t="n">
        <v>2</v>
      </c>
      <c r="F16" s="12">
        <f>IF(D16="","",IFERROR(VLOOKUP(D16,Ajustes!$B$15:$C$44,2,FALSE),0))</f>
        <v/>
      </c>
      <c r="G16" s="12">
        <f>IF(OR(B16="",D16="",E16=""),"",IF(I16="No",0,ROUND(E16*F16,2)))</f>
        <v/>
      </c>
      <c r="H16" s="15">
        <f>IF(B16="","",B16-WEEKDAY(B16,2)+1)</f>
        <v/>
      </c>
      <c r="I16" s="26" t="inlineStr">
        <is>
          <t>Sí</t>
        </is>
      </c>
      <c r="K16" s="25" t="n">
        <v>46296</v>
      </c>
      <c r="L16" s="26" t="inlineStr">
        <is>
          <t>Mateo</t>
        </is>
      </c>
      <c r="M16" s="26" t="inlineStr">
        <is>
          <t>Gasto</t>
        </is>
      </c>
      <c r="N16" s="21" t="inlineStr">
        <is>
          <t>Pegatinas</t>
        </is>
      </c>
      <c r="O16" s="22" t="n">
        <v>1</v>
      </c>
      <c r="P16" s="15">
        <f>IF(K16="","",K16-WEEKDAY(K16,2)+1)</f>
        <v/>
      </c>
    </row>
    <row r="17">
      <c r="B17" s="25" t="n">
        <v>46284</v>
      </c>
      <c r="C17" s="26" t="inlineStr">
        <is>
          <t>Hugo</t>
        </is>
      </c>
      <c r="D17" s="21" t="inlineStr">
        <is>
          <t>Pasear al perro</t>
        </is>
      </c>
      <c r="E17" s="27" t="n">
        <v>5</v>
      </c>
      <c r="F17" s="12">
        <f>IF(D17="","",IFERROR(VLOOKUP(D17,Ajustes!$B$15:$C$44,2,FALSE),0))</f>
        <v/>
      </c>
      <c r="G17" s="12">
        <f>IF(OR(B17="",D17="",E17=""),"",IF(I17="No",0,ROUND(E17*F17,2)))</f>
        <v/>
      </c>
      <c r="H17" s="15">
        <f>IF(B17="","",B17-WEEKDAY(B17,2)+1)</f>
        <v/>
      </c>
      <c r="I17" s="26" t="inlineStr">
        <is>
          <t>Sí</t>
        </is>
      </c>
      <c r="K17" s="25" t="n">
        <v>46296</v>
      </c>
      <c r="L17" s="26" t="inlineStr">
        <is>
          <t>Hugo</t>
        </is>
      </c>
      <c r="M17" s="26" t="inlineStr">
        <is>
          <t>Gasto</t>
        </is>
      </c>
      <c r="N17" s="21" t="inlineStr">
        <is>
          <t>Batido</t>
        </is>
      </c>
      <c r="O17" s="22" t="n">
        <v>3</v>
      </c>
      <c r="P17" s="15">
        <f>IF(K17="","",K17-WEEKDAY(K17,2)+1)</f>
        <v/>
      </c>
    </row>
    <row r="18">
      <c r="B18" s="25" t="n">
        <v>46285</v>
      </c>
      <c r="C18" s="26" t="inlineStr">
        <is>
          <t>Hugo</t>
        </is>
      </c>
      <c r="D18" s="21" t="inlineStr">
        <is>
          <t>Limpiar el baño</t>
        </is>
      </c>
      <c r="E18" s="27" t="n">
        <v>1</v>
      </c>
      <c r="F18" s="12">
        <f>IF(D18="","",IFERROR(VLOOKUP(D18,Ajustes!$B$15:$C$44,2,FALSE),0))</f>
        <v/>
      </c>
      <c r="G18" s="12">
        <f>IF(OR(B18="",D18="",E18=""),"",IF(I18="No",0,ROUND(E18*F18,2)))</f>
        <v/>
      </c>
      <c r="H18" s="15">
        <f>IF(B18="","",B18-WEEKDAY(B18,2)+1)</f>
        <v/>
      </c>
      <c r="I18" s="26" t="inlineStr">
        <is>
          <t>Sí</t>
        </is>
      </c>
      <c r="K18" s="25" t="n"/>
      <c r="L18" s="26" t="n"/>
      <c r="M18" s="26" t="n"/>
      <c r="N18" s="21" t="n"/>
      <c r="O18" s="22" t="n"/>
      <c r="P18" s="15">
        <f>IF(K18="","",K18-WEEKDAY(K18,2)+1)</f>
        <v/>
      </c>
    </row>
    <row r="19">
      <c r="B19" s="25" t="n">
        <v>46290</v>
      </c>
      <c r="C19" s="26" t="inlineStr">
        <is>
          <t>Lucía</t>
        </is>
      </c>
      <c r="D19" s="21" t="inlineStr">
        <is>
          <t>Poner la mesa</t>
        </is>
      </c>
      <c r="E19" s="27" t="n">
        <v>5</v>
      </c>
      <c r="F19" s="12">
        <f>IF(D19="","",IFERROR(VLOOKUP(D19,Ajustes!$B$15:$C$44,2,FALSE),0))</f>
        <v/>
      </c>
      <c r="G19" s="12">
        <f>IF(OR(B19="",D19="",E19=""),"",IF(I19="No",0,ROUND(E19*F19,2)))</f>
        <v/>
      </c>
      <c r="H19" s="15">
        <f>IF(B19="","",B19-WEEKDAY(B19,2)+1)</f>
        <v/>
      </c>
      <c r="I19" s="26" t="inlineStr">
        <is>
          <t>Sí</t>
        </is>
      </c>
      <c r="K19" s="25" t="n"/>
      <c r="L19" s="26" t="n"/>
      <c r="M19" s="26" t="n"/>
      <c r="N19" s="21" t="n"/>
      <c r="O19" s="22" t="n"/>
      <c r="P19" s="15">
        <f>IF(K19="","",K19-WEEKDAY(K19,2)+1)</f>
        <v/>
      </c>
    </row>
    <row r="20">
      <c r="B20" s="25" t="n">
        <v>46291</v>
      </c>
      <c r="C20" s="26" t="inlineStr">
        <is>
          <t>Lucía</t>
        </is>
      </c>
      <c r="D20" s="21" t="inlineStr">
        <is>
          <t>Pasear al perro</t>
        </is>
      </c>
      <c r="E20" s="27" t="n">
        <v>4</v>
      </c>
      <c r="F20" s="12">
        <f>IF(D20="","",IFERROR(VLOOKUP(D20,Ajustes!$B$15:$C$44,2,FALSE),0))</f>
        <v/>
      </c>
      <c r="G20" s="12">
        <f>IF(OR(B20="",D20="",E20=""),"",IF(I20="No",0,ROUND(E20*F20,2)))</f>
        <v/>
      </c>
      <c r="H20" s="15">
        <f>IF(B20="","",B20-WEEKDAY(B20,2)+1)</f>
        <v/>
      </c>
      <c r="I20" s="26" t="inlineStr">
        <is>
          <t>Sí</t>
        </is>
      </c>
      <c r="K20" s="25" t="n"/>
      <c r="L20" s="26" t="n"/>
      <c r="M20" s="26" t="n"/>
      <c r="N20" s="21" t="n"/>
      <c r="O20" s="22" t="n"/>
      <c r="P20" s="15">
        <f>IF(K20="","",K20-WEEKDAY(K20,2)+1)</f>
        <v/>
      </c>
    </row>
    <row r="21">
      <c r="B21" s="25" t="n">
        <v>46290</v>
      </c>
      <c r="C21" s="26" t="inlineStr">
        <is>
          <t>Mateo</t>
        </is>
      </c>
      <c r="D21" s="21" t="inlineStr">
        <is>
          <t>Hacer la cama</t>
        </is>
      </c>
      <c r="E21" s="27" t="n">
        <v>7</v>
      </c>
      <c r="F21" s="12">
        <f>IF(D21="","",IFERROR(VLOOKUP(D21,Ajustes!$B$15:$C$44,2,FALSE),0))</f>
        <v/>
      </c>
      <c r="G21" s="12">
        <f>IF(OR(B21="",D21="",E21=""),"",IF(I21="No",0,ROUND(E21*F21,2)))</f>
        <v/>
      </c>
      <c r="H21" s="15">
        <f>IF(B21="","",B21-WEEKDAY(B21,2)+1)</f>
        <v/>
      </c>
      <c r="I21" s="26" t="inlineStr">
        <is>
          <t>Sí</t>
        </is>
      </c>
      <c r="K21" s="25" t="n"/>
      <c r="L21" s="26" t="n"/>
      <c r="M21" s="26" t="n"/>
      <c r="N21" s="21" t="n"/>
      <c r="O21" s="22" t="n"/>
      <c r="P21" s="15">
        <f>IF(K21="","",K21-WEEKDAY(K21,2)+1)</f>
        <v/>
      </c>
    </row>
    <row r="22">
      <c r="B22" s="25" t="n">
        <v>46291</v>
      </c>
      <c r="C22" s="26" t="inlineStr">
        <is>
          <t>Mateo</t>
        </is>
      </c>
      <c r="D22" s="21" t="inlineStr">
        <is>
          <t>Quitar la mesa</t>
        </is>
      </c>
      <c r="E22" s="27" t="n">
        <v>5</v>
      </c>
      <c r="F22" s="12">
        <f>IF(D22="","",IFERROR(VLOOKUP(D22,Ajustes!$B$15:$C$44,2,FALSE),0))</f>
        <v/>
      </c>
      <c r="G22" s="12">
        <f>IF(OR(B22="",D22="",E22=""),"",IF(I22="No",0,ROUND(E22*F22,2)))</f>
        <v/>
      </c>
      <c r="H22" s="15">
        <f>IF(B22="","",B22-WEEKDAY(B22,2)+1)</f>
        <v/>
      </c>
      <c r="I22" s="26" t="inlineStr">
        <is>
          <t>Sí</t>
        </is>
      </c>
      <c r="K22" s="25" t="n"/>
      <c r="L22" s="26" t="n"/>
      <c r="M22" s="26" t="n"/>
      <c r="N22" s="21" t="n"/>
      <c r="O22" s="22" t="n"/>
      <c r="P22" s="15">
        <f>IF(K22="","",K22-WEEKDAY(K22,2)+1)</f>
        <v/>
      </c>
    </row>
    <row r="23">
      <c r="B23" s="25" t="n">
        <v>46291</v>
      </c>
      <c r="C23" s="26" t="inlineStr">
        <is>
          <t>Hugo</t>
        </is>
      </c>
      <c r="D23" s="21" t="inlineStr">
        <is>
          <t>Sacar la basura</t>
        </is>
      </c>
      <c r="E23" s="27" t="n">
        <v>5</v>
      </c>
      <c r="F23" s="12">
        <f>IF(D23="","",IFERROR(VLOOKUP(D23,Ajustes!$B$15:$C$44,2,FALSE),0))</f>
        <v/>
      </c>
      <c r="G23" s="12">
        <f>IF(OR(B23="",D23="",E23=""),"",IF(I23="No",0,ROUND(E23*F23,2)))</f>
        <v/>
      </c>
      <c r="H23" s="15">
        <f>IF(B23="","",B23-WEEKDAY(B23,2)+1)</f>
        <v/>
      </c>
      <c r="I23" s="26" t="inlineStr">
        <is>
          <t>Sí</t>
        </is>
      </c>
      <c r="K23" s="25" t="n"/>
      <c r="L23" s="26" t="n"/>
      <c r="M23" s="26" t="n"/>
      <c r="N23" s="21" t="n"/>
      <c r="O23" s="22" t="n"/>
      <c r="P23" s="15">
        <f>IF(K23="","",K23-WEEKDAY(K23,2)+1)</f>
        <v/>
      </c>
    </row>
    <row r="24">
      <c r="B24" s="25" t="n">
        <v>46292</v>
      </c>
      <c r="C24" s="26" t="inlineStr">
        <is>
          <t>Hugo</t>
        </is>
      </c>
      <c r="D24" s="21" t="inlineStr">
        <is>
          <t>Pasar la aspiradora</t>
        </is>
      </c>
      <c r="E24" s="27" t="n">
        <v>2</v>
      </c>
      <c r="F24" s="12">
        <f>IF(D24="","",IFERROR(VLOOKUP(D24,Ajustes!$B$15:$C$44,2,FALSE),0))</f>
        <v/>
      </c>
      <c r="G24" s="12">
        <f>IF(OR(B24="",D24="",E24=""),"",IF(I24="No",0,ROUND(E24*F24,2)))</f>
        <v/>
      </c>
      <c r="H24" s="15">
        <f>IF(B24="","",B24-WEEKDAY(B24,2)+1)</f>
        <v/>
      </c>
      <c r="I24" s="26" t="inlineStr">
        <is>
          <t>Sí</t>
        </is>
      </c>
      <c r="K24" s="25" t="n"/>
      <c r="L24" s="26" t="n"/>
      <c r="M24" s="26" t="n"/>
      <c r="N24" s="21" t="n"/>
      <c r="O24" s="22" t="n"/>
      <c r="P24" s="15">
        <f>IF(K24="","",K24-WEEKDAY(K24,2)+1)</f>
        <v/>
      </c>
    </row>
    <row r="25">
      <c r="B25" s="25" t="n">
        <v>46295</v>
      </c>
      <c r="C25" s="26" t="inlineStr">
        <is>
          <t>Lucía</t>
        </is>
      </c>
      <c r="D25" s="21" t="inlineStr">
        <is>
          <t>Recoger la habitación</t>
        </is>
      </c>
      <c r="E25" s="27" t="n">
        <v>5</v>
      </c>
      <c r="F25" s="12">
        <f>IF(D25="","",IFERROR(VLOOKUP(D25,Ajustes!$B$15:$C$44,2,FALSE),0))</f>
        <v/>
      </c>
      <c r="G25" s="12">
        <f>IF(OR(B25="",D25="",E25=""),"",IF(I25="No",0,ROUND(E25*F25,2)))</f>
        <v/>
      </c>
      <c r="H25" s="15">
        <f>IF(B25="","",B25-WEEKDAY(B25,2)+1)</f>
        <v/>
      </c>
      <c r="I25" s="26" t="inlineStr">
        <is>
          <t>Sí</t>
        </is>
      </c>
      <c r="K25" s="25" t="n"/>
      <c r="L25" s="26" t="n"/>
      <c r="M25" s="26" t="n"/>
      <c r="N25" s="21" t="n"/>
      <c r="O25" s="22" t="n"/>
      <c r="P25" s="15">
        <f>IF(K25="","",K25-WEEKDAY(K25,2)+1)</f>
        <v/>
      </c>
    </row>
    <row r="26">
      <c r="B26" s="25" t="n">
        <v>46296</v>
      </c>
      <c r="C26" s="26" t="inlineStr">
        <is>
          <t>Lucía</t>
        </is>
      </c>
      <c r="D26" s="21" t="inlineStr">
        <is>
          <t>Ayudar a cocinar</t>
        </is>
      </c>
      <c r="E26" s="27" t="n">
        <v>2</v>
      </c>
      <c r="F26" s="12">
        <f>IF(D26="","",IFERROR(VLOOKUP(D26,Ajustes!$B$15:$C$44,2,FALSE),0))</f>
        <v/>
      </c>
      <c r="G26" s="12">
        <f>IF(OR(B26="",D26="",E26=""),"",IF(I26="No",0,ROUND(E26*F26,2)))</f>
        <v/>
      </c>
      <c r="H26" s="15">
        <f>IF(B26="","",B26-WEEKDAY(B26,2)+1)</f>
        <v/>
      </c>
      <c r="I26" s="26" t="inlineStr">
        <is>
          <t>Sí</t>
        </is>
      </c>
      <c r="K26" s="25" t="n"/>
      <c r="L26" s="26" t="n"/>
      <c r="M26" s="26" t="n"/>
      <c r="N26" s="21" t="n"/>
      <c r="O26" s="22" t="n"/>
      <c r="P26" s="15">
        <f>IF(K26="","",K26-WEEKDAY(K26,2)+1)</f>
        <v/>
      </c>
    </row>
    <row r="27">
      <c r="B27" s="25" t="n">
        <v>46295</v>
      </c>
      <c r="C27" s="26" t="inlineStr">
        <is>
          <t>Mateo</t>
        </is>
      </c>
      <c r="D27" s="21" t="inlineStr">
        <is>
          <t>Ordenar los juguetes</t>
        </is>
      </c>
      <c r="E27" s="27" t="n">
        <v>5</v>
      </c>
      <c r="F27" s="12">
        <f>IF(D27="","",IFERROR(VLOOKUP(D27,Ajustes!$B$15:$C$44,2,FALSE),0))</f>
        <v/>
      </c>
      <c r="G27" s="12">
        <f>IF(OR(B27="",D27="",E27=""),"",IF(I27="No",0,ROUND(E27*F27,2)))</f>
        <v/>
      </c>
      <c r="H27" s="15">
        <f>IF(B27="","",B27-WEEKDAY(B27,2)+1)</f>
        <v/>
      </c>
      <c r="I27" s="26" t="inlineStr">
        <is>
          <t>No</t>
        </is>
      </c>
      <c r="K27" s="25" t="n"/>
      <c r="L27" s="26" t="n"/>
      <c r="M27" s="26" t="n"/>
      <c r="N27" s="21" t="n"/>
      <c r="O27" s="22" t="n"/>
      <c r="P27" s="15">
        <f>IF(K27="","",K27-WEEKDAY(K27,2)+1)</f>
        <v/>
      </c>
    </row>
    <row r="28">
      <c r="B28" s="25" t="n">
        <v>46296</v>
      </c>
      <c r="C28" s="26" t="inlineStr">
        <is>
          <t>Mateo</t>
        </is>
      </c>
      <c r="D28" s="21" t="inlineStr">
        <is>
          <t>Poner la mesa</t>
        </is>
      </c>
      <c r="E28" s="27" t="n">
        <v>4</v>
      </c>
      <c r="F28" s="12">
        <f>IF(D28="","",IFERROR(VLOOKUP(D28,Ajustes!$B$15:$C$44,2,FALSE),0))</f>
        <v/>
      </c>
      <c r="G28" s="12">
        <f>IF(OR(B28="",D28="",E28=""),"",IF(I28="No",0,ROUND(E28*F28,2)))</f>
        <v/>
      </c>
      <c r="H28" s="15">
        <f>IF(B28="","",B28-WEEKDAY(B28,2)+1)</f>
        <v/>
      </c>
      <c r="I28" s="26" t="inlineStr">
        <is>
          <t>Sí</t>
        </is>
      </c>
      <c r="K28" s="25" t="n"/>
      <c r="L28" s="26" t="n"/>
      <c r="M28" s="26" t="n"/>
      <c r="N28" s="21" t="n"/>
      <c r="O28" s="22" t="n"/>
      <c r="P28" s="15">
        <f>IF(K28="","",K28-WEEKDAY(K28,2)+1)</f>
        <v/>
      </c>
    </row>
    <row r="29">
      <c r="B29" s="25" t="n">
        <v>46296</v>
      </c>
      <c r="C29" s="26" t="inlineStr">
        <is>
          <t>Hugo</t>
        </is>
      </c>
      <c r="D29" s="21" t="inlineStr">
        <is>
          <t>Barrer la cocina</t>
        </is>
      </c>
      <c r="E29" s="27" t="n">
        <v>3</v>
      </c>
      <c r="F29" s="12">
        <f>IF(D29="","",IFERROR(VLOOKUP(D29,Ajustes!$B$15:$C$44,2,FALSE),0))</f>
        <v/>
      </c>
      <c r="G29" s="12">
        <f>IF(OR(B29="",D29="",E29=""),"",IF(I29="No",0,ROUND(E29*F29,2)))</f>
        <v/>
      </c>
      <c r="H29" s="15">
        <f>IF(B29="","",B29-WEEKDAY(B29,2)+1)</f>
        <v/>
      </c>
      <c r="I29" s="26" t="inlineStr">
        <is>
          <t>Sí</t>
        </is>
      </c>
      <c r="K29" s="25" t="n"/>
      <c r="L29" s="26" t="n"/>
      <c r="M29" s="26" t="n"/>
      <c r="N29" s="21" t="n"/>
      <c r="O29" s="22" t="n"/>
      <c r="P29" s="15">
        <f>IF(K29="","",K29-WEEKDAY(K29,2)+1)</f>
        <v/>
      </c>
    </row>
    <row r="30">
      <c r="B30" s="25" t="n">
        <v>46297</v>
      </c>
      <c r="C30" s="26" t="inlineStr">
        <is>
          <t>Hugo</t>
        </is>
      </c>
      <c r="D30" s="21" t="inlineStr">
        <is>
          <t>Limpiar el baño</t>
        </is>
      </c>
      <c r="E30" s="27" t="n">
        <v>1</v>
      </c>
      <c r="F30" s="12">
        <f>IF(D30="","",IFERROR(VLOOKUP(D30,Ajustes!$B$15:$C$44,2,FALSE),0))</f>
        <v/>
      </c>
      <c r="G30" s="12">
        <f>IF(OR(B30="",D30="",E30=""),"",IF(I30="No",0,ROUND(E30*F30,2)))</f>
        <v/>
      </c>
      <c r="H30" s="15">
        <f>IF(B30="","",B30-WEEKDAY(B30,2)+1)</f>
        <v/>
      </c>
      <c r="I30" s="26" t="inlineStr">
        <is>
          <t>Sí</t>
        </is>
      </c>
      <c r="K30" s="25" t="n"/>
      <c r="L30" s="26" t="n"/>
      <c r="M30" s="26" t="n"/>
      <c r="N30" s="21" t="n"/>
      <c r="O30" s="22" t="n"/>
      <c r="P30" s="15">
        <f>IF(K30="","",K30-WEEKDAY(K30,2)+1)</f>
        <v/>
      </c>
    </row>
    <row r="31">
      <c r="B31" s="25" t="n"/>
      <c r="C31" s="26" t="n"/>
      <c r="D31" s="21" t="n"/>
      <c r="E31" s="27" t="n"/>
      <c r="F31" s="12">
        <f>IF(D31="","",IFERROR(VLOOKUP(D31,Ajustes!$B$15:$C$44,2,FALSE),0))</f>
        <v/>
      </c>
      <c r="G31" s="12">
        <f>IF(OR(B31="",D31="",E31=""),"",IF(I31="No",0,ROUND(E31*F31,2)))</f>
        <v/>
      </c>
      <c r="H31" s="15">
        <f>IF(B31="","",B31-WEEKDAY(B31,2)+1)</f>
        <v/>
      </c>
      <c r="I31" s="26" t="n"/>
      <c r="K31" s="25" t="n"/>
      <c r="L31" s="26" t="n"/>
      <c r="M31" s="26" t="n"/>
      <c r="N31" s="21" t="n"/>
      <c r="O31" s="22" t="n"/>
      <c r="P31" s="15">
        <f>IF(K31="","",K31-WEEKDAY(K31,2)+1)</f>
        <v/>
      </c>
    </row>
    <row r="32">
      <c r="B32" s="25" t="n"/>
      <c r="C32" s="26" t="n"/>
      <c r="D32" s="21" t="n"/>
      <c r="E32" s="27" t="n"/>
      <c r="F32" s="12">
        <f>IF(D32="","",IFERROR(VLOOKUP(D32,Ajustes!$B$15:$C$44,2,FALSE),0))</f>
        <v/>
      </c>
      <c r="G32" s="12">
        <f>IF(OR(B32="",D32="",E32=""),"",IF(I32="No",0,ROUND(E32*F32,2)))</f>
        <v/>
      </c>
      <c r="H32" s="15">
        <f>IF(B32="","",B32-WEEKDAY(B32,2)+1)</f>
        <v/>
      </c>
      <c r="I32" s="26" t="n"/>
      <c r="K32" s="25" t="n"/>
      <c r="L32" s="26" t="n"/>
      <c r="M32" s="26" t="n"/>
      <c r="N32" s="21" t="n"/>
      <c r="O32" s="22" t="n"/>
      <c r="P32" s="15">
        <f>IF(K32="","",K32-WEEKDAY(K32,2)+1)</f>
        <v/>
      </c>
    </row>
    <row r="33">
      <c r="B33" s="25" t="n"/>
      <c r="C33" s="26" t="n"/>
      <c r="D33" s="21" t="n"/>
      <c r="E33" s="27" t="n"/>
      <c r="F33" s="12">
        <f>IF(D33="","",IFERROR(VLOOKUP(D33,Ajustes!$B$15:$C$44,2,FALSE),0))</f>
        <v/>
      </c>
      <c r="G33" s="12">
        <f>IF(OR(B33="",D33="",E33=""),"",IF(I33="No",0,ROUND(E33*F33,2)))</f>
        <v/>
      </c>
      <c r="H33" s="15">
        <f>IF(B33="","",B33-WEEKDAY(B33,2)+1)</f>
        <v/>
      </c>
      <c r="I33" s="26" t="n"/>
      <c r="K33" s="25" t="n"/>
      <c r="L33" s="26" t="n"/>
      <c r="M33" s="26" t="n"/>
      <c r="N33" s="21" t="n"/>
      <c r="O33" s="22" t="n"/>
      <c r="P33" s="15">
        <f>IF(K33="","",K33-WEEKDAY(K33,2)+1)</f>
        <v/>
      </c>
    </row>
    <row r="34">
      <c r="B34" s="25" t="n"/>
      <c r="C34" s="26" t="n"/>
      <c r="D34" s="21" t="n"/>
      <c r="E34" s="27" t="n"/>
      <c r="F34" s="12">
        <f>IF(D34="","",IFERROR(VLOOKUP(D34,Ajustes!$B$15:$C$44,2,FALSE),0))</f>
        <v/>
      </c>
      <c r="G34" s="12">
        <f>IF(OR(B34="",D34="",E34=""),"",IF(I34="No",0,ROUND(E34*F34,2)))</f>
        <v/>
      </c>
      <c r="H34" s="15">
        <f>IF(B34="","",B34-WEEKDAY(B34,2)+1)</f>
        <v/>
      </c>
      <c r="I34" s="26" t="n"/>
      <c r="K34" s="25" t="n"/>
      <c r="L34" s="26" t="n"/>
      <c r="M34" s="26" t="n"/>
      <c r="N34" s="21" t="n"/>
      <c r="O34" s="22" t="n"/>
      <c r="P34" s="15">
        <f>IF(K34="","",K34-WEEKDAY(K34,2)+1)</f>
        <v/>
      </c>
    </row>
    <row r="35">
      <c r="B35" s="25" t="n"/>
      <c r="C35" s="26" t="n"/>
      <c r="D35" s="21" t="n"/>
      <c r="E35" s="27" t="n"/>
      <c r="F35" s="12">
        <f>IF(D35="","",IFERROR(VLOOKUP(D35,Ajustes!$B$15:$C$44,2,FALSE),0))</f>
        <v/>
      </c>
      <c r="G35" s="12">
        <f>IF(OR(B35="",D35="",E35=""),"",IF(I35="No",0,ROUND(E35*F35,2)))</f>
        <v/>
      </c>
      <c r="H35" s="15">
        <f>IF(B35="","",B35-WEEKDAY(B35,2)+1)</f>
        <v/>
      </c>
      <c r="I35" s="26" t="n"/>
      <c r="K35" s="25" t="n"/>
      <c r="L35" s="26" t="n"/>
      <c r="M35" s="26" t="n"/>
      <c r="N35" s="21" t="n"/>
      <c r="O35" s="22" t="n"/>
      <c r="P35" s="15">
        <f>IF(K35="","",K35-WEEKDAY(K35,2)+1)</f>
        <v/>
      </c>
    </row>
    <row r="36">
      <c r="B36" s="25" t="n"/>
      <c r="C36" s="26" t="n"/>
      <c r="D36" s="21" t="n"/>
      <c r="E36" s="27" t="n"/>
      <c r="F36" s="12">
        <f>IF(D36="","",IFERROR(VLOOKUP(D36,Ajustes!$B$15:$C$44,2,FALSE),0))</f>
        <v/>
      </c>
      <c r="G36" s="12">
        <f>IF(OR(B36="",D36="",E36=""),"",IF(I36="No",0,ROUND(E36*F36,2)))</f>
        <v/>
      </c>
      <c r="H36" s="15">
        <f>IF(B36="","",B36-WEEKDAY(B36,2)+1)</f>
        <v/>
      </c>
      <c r="I36" s="26" t="n"/>
      <c r="K36" s="25" t="n"/>
      <c r="L36" s="26" t="n"/>
      <c r="M36" s="26" t="n"/>
      <c r="N36" s="21" t="n"/>
      <c r="O36" s="22" t="n"/>
      <c r="P36" s="15">
        <f>IF(K36="","",K36-WEEKDAY(K36,2)+1)</f>
        <v/>
      </c>
    </row>
    <row r="37">
      <c r="B37" s="25" t="n"/>
      <c r="C37" s="26" t="n"/>
      <c r="D37" s="21" t="n"/>
      <c r="E37" s="27" t="n"/>
      <c r="F37" s="12">
        <f>IF(D37="","",IFERROR(VLOOKUP(D37,Ajustes!$B$15:$C$44,2,FALSE),0))</f>
        <v/>
      </c>
      <c r="G37" s="12">
        <f>IF(OR(B37="",D37="",E37=""),"",IF(I37="No",0,ROUND(E37*F37,2)))</f>
        <v/>
      </c>
      <c r="H37" s="15">
        <f>IF(B37="","",B37-WEEKDAY(B37,2)+1)</f>
        <v/>
      </c>
      <c r="I37" s="26" t="n"/>
      <c r="K37" s="25" t="n"/>
      <c r="L37" s="26" t="n"/>
      <c r="M37" s="26" t="n"/>
      <c r="N37" s="21" t="n"/>
      <c r="O37" s="22" t="n"/>
      <c r="P37" s="15">
        <f>IF(K37="","",K37-WEEKDAY(K37,2)+1)</f>
        <v/>
      </c>
    </row>
    <row r="38">
      <c r="B38" s="25" t="n"/>
      <c r="C38" s="26" t="n"/>
      <c r="D38" s="21" t="n"/>
      <c r="E38" s="27" t="n"/>
      <c r="F38" s="12">
        <f>IF(D38="","",IFERROR(VLOOKUP(D38,Ajustes!$B$15:$C$44,2,FALSE),0))</f>
        <v/>
      </c>
      <c r="G38" s="12">
        <f>IF(OR(B38="",D38="",E38=""),"",IF(I38="No",0,ROUND(E38*F38,2)))</f>
        <v/>
      </c>
      <c r="H38" s="15">
        <f>IF(B38="","",B38-WEEKDAY(B38,2)+1)</f>
        <v/>
      </c>
      <c r="I38" s="26" t="n"/>
      <c r="K38" s="25" t="n"/>
      <c r="L38" s="26" t="n"/>
      <c r="M38" s="26" t="n"/>
      <c r="N38" s="21" t="n"/>
      <c r="O38" s="22" t="n"/>
      <c r="P38" s="15">
        <f>IF(K38="","",K38-WEEKDAY(K38,2)+1)</f>
        <v/>
      </c>
    </row>
    <row r="39">
      <c r="B39" s="25" t="n"/>
      <c r="C39" s="26" t="n"/>
      <c r="D39" s="21" t="n"/>
      <c r="E39" s="27" t="n"/>
      <c r="F39" s="12">
        <f>IF(D39="","",IFERROR(VLOOKUP(D39,Ajustes!$B$15:$C$44,2,FALSE),0))</f>
        <v/>
      </c>
      <c r="G39" s="12">
        <f>IF(OR(B39="",D39="",E39=""),"",IF(I39="No",0,ROUND(E39*F39,2)))</f>
        <v/>
      </c>
      <c r="H39" s="15">
        <f>IF(B39="","",B39-WEEKDAY(B39,2)+1)</f>
        <v/>
      </c>
      <c r="I39" s="26" t="n"/>
      <c r="K39" s="25" t="n"/>
      <c r="L39" s="26" t="n"/>
      <c r="M39" s="26" t="n"/>
      <c r="N39" s="21" t="n"/>
      <c r="O39" s="22" t="n"/>
      <c r="P39" s="15">
        <f>IF(K39="","",K39-WEEKDAY(K39,2)+1)</f>
        <v/>
      </c>
    </row>
    <row r="40">
      <c r="B40" s="25" t="n"/>
      <c r="C40" s="26" t="n"/>
      <c r="D40" s="21" t="n"/>
      <c r="E40" s="27" t="n"/>
      <c r="F40" s="12">
        <f>IF(D40="","",IFERROR(VLOOKUP(D40,Ajustes!$B$15:$C$44,2,FALSE),0))</f>
        <v/>
      </c>
      <c r="G40" s="12">
        <f>IF(OR(B40="",D40="",E40=""),"",IF(I40="No",0,ROUND(E40*F40,2)))</f>
        <v/>
      </c>
      <c r="H40" s="15">
        <f>IF(B40="","",B40-WEEKDAY(B40,2)+1)</f>
        <v/>
      </c>
      <c r="I40" s="26" t="n"/>
      <c r="K40" s="25" t="n"/>
      <c r="L40" s="26" t="n"/>
      <c r="M40" s="26" t="n"/>
      <c r="N40" s="21" t="n"/>
      <c r="O40" s="22" t="n"/>
      <c r="P40" s="15">
        <f>IF(K40="","",K40-WEEKDAY(K40,2)+1)</f>
        <v/>
      </c>
    </row>
    <row r="41">
      <c r="B41" s="25" t="n"/>
      <c r="C41" s="26" t="n"/>
      <c r="D41" s="21" t="n"/>
      <c r="E41" s="27" t="n"/>
      <c r="F41" s="12">
        <f>IF(D41="","",IFERROR(VLOOKUP(D41,Ajustes!$B$15:$C$44,2,FALSE),0))</f>
        <v/>
      </c>
      <c r="G41" s="12">
        <f>IF(OR(B41="",D41="",E41=""),"",IF(I41="No",0,ROUND(E41*F41,2)))</f>
        <v/>
      </c>
      <c r="H41" s="15">
        <f>IF(B41="","",B41-WEEKDAY(B41,2)+1)</f>
        <v/>
      </c>
      <c r="I41" s="26" t="n"/>
      <c r="K41" s="25" t="n"/>
      <c r="L41" s="26" t="n"/>
      <c r="M41" s="26" t="n"/>
      <c r="N41" s="21" t="n"/>
      <c r="O41" s="22" t="n"/>
      <c r="P41" s="15">
        <f>IF(K41="","",K41-WEEKDAY(K41,2)+1)</f>
        <v/>
      </c>
    </row>
    <row r="42">
      <c r="B42" s="25" t="n"/>
      <c r="C42" s="26" t="n"/>
      <c r="D42" s="21" t="n"/>
      <c r="E42" s="27" t="n"/>
      <c r="F42" s="12">
        <f>IF(D42="","",IFERROR(VLOOKUP(D42,Ajustes!$B$15:$C$44,2,FALSE),0))</f>
        <v/>
      </c>
      <c r="G42" s="12">
        <f>IF(OR(B42="",D42="",E42=""),"",IF(I42="No",0,ROUND(E42*F42,2)))</f>
        <v/>
      </c>
      <c r="H42" s="15">
        <f>IF(B42="","",B42-WEEKDAY(B42,2)+1)</f>
        <v/>
      </c>
      <c r="I42" s="26" t="n"/>
      <c r="K42" s="25" t="n"/>
      <c r="L42" s="26" t="n"/>
      <c r="M42" s="26" t="n"/>
      <c r="N42" s="21" t="n"/>
      <c r="O42" s="22" t="n"/>
      <c r="P42" s="15">
        <f>IF(K42="","",K42-WEEKDAY(K42,2)+1)</f>
        <v/>
      </c>
    </row>
    <row r="43">
      <c r="B43" s="25" t="n"/>
      <c r="C43" s="26" t="n"/>
      <c r="D43" s="21" t="n"/>
      <c r="E43" s="27" t="n"/>
      <c r="F43" s="12">
        <f>IF(D43="","",IFERROR(VLOOKUP(D43,Ajustes!$B$15:$C$44,2,FALSE),0))</f>
        <v/>
      </c>
      <c r="G43" s="12">
        <f>IF(OR(B43="",D43="",E43=""),"",IF(I43="No",0,ROUND(E43*F43,2)))</f>
        <v/>
      </c>
      <c r="H43" s="15">
        <f>IF(B43="","",B43-WEEKDAY(B43,2)+1)</f>
        <v/>
      </c>
      <c r="I43" s="26" t="n"/>
      <c r="K43" s="25" t="n"/>
      <c r="L43" s="26" t="n"/>
      <c r="M43" s="26" t="n"/>
      <c r="N43" s="21" t="n"/>
      <c r="O43" s="22" t="n"/>
      <c r="P43" s="15">
        <f>IF(K43="","",K43-WEEKDAY(K43,2)+1)</f>
        <v/>
      </c>
    </row>
    <row r="44">
      <c r="B44" s="25" t="n"/>
      <c r="C44" s="26" t="n"/>
      <c r="D44" s="21" t="n"/>
      <c r="E44" s="27" t="n"/>
      <c r="F44" s="12">
        <f>IF(D44="","",IFERROR(VLOOKUP(D44,Ajustes!$B$15:$C$44,2,FALSE),0))</f>
        <v/>
      </c>
      <c r="G44" s="12">
        <f>IF(OR(B44="",D44="",E44=""),"",IF(I44="No",0,ROUND(E44*F44,2)))</f>
        <v/>
      </c>
      <c r="H44" s="15">
        <f>IF(B44="","",B44-WEEKDAY(B44,2)+1)</f>
        <v/>
      </c>
      <c r="I44" s="26" t="n"/>
      <c r="K44" s="25" t="n"/>
      <c r="L44" s="26" t="n"/>
      <c r="M44" s="26" t="n"/>
      <c r="N44" s="21" t="n"/>
      <c r="O44" s="22" t="n"/>
      <c r="P44" s="15">
        <f>IF(K44="","",K44-WEEKDAY(K44,2)+1)</f>
        <v/>
      </c>
    </row>
    <row r="45">
      <c r="B45" s="25" t="n"/>
      <c r="C45" s="26" t="n"/>
      <c r="D45" s="21" t="n"/>
      <c r="E45" s="27" t="n"/>
      <c r="F45" s="12">
        <f>IF(D45="","",IFERROR(VLOOKUP(D45,Ajustes!$B$15:$C$44,2,FALSE),0))</f>
        <v/>
      </c>
      <c r="G45" s="12">
        <f>IF(OR(B45="",D45="",E45=""),"",IF(I45="No",0,ROUND(E45*F45,2)))</f>
        <v/>
      </c>
      <c r="H45" s="15">
        <f>IF(B45="","",B45-WEEKDAY(B45,2)+1)</f>
        <v/>
      </c>
      <c r="I45" s="26" t="n"/>
      <c r="K45" s="25" t="n"/>
      <c r="L45" s="26" t="n"/>
      <c r="M45" s="26" t="n"/>
      <c r="N45" s="21" t="n"/>
      <c r="O45" s="22" t="n"/>
      <c r="P45" s="15">
        <f>IF(K45="","",K45-WEEKDAY(K45,2)+1)</f>
        <v/>
      </c>
    </row>
    <row r="46">
      <c r="B46" s="25" t="n"/>
      <c r="C46" s="26" t="n"/>
      <c r="D46" s="21" t="n"/>
      <c r="E46" s="27" t="n"/>
      <c r="F46" s="12">
        <f>IF(D46="","",IFERROR(VLOOKUP(D46,Ajustes!$B$15:$C$44,2,FALSE),0))</f>
        <v/>
      </c>
      <c r="G46" s="12">
        <f>IF(OR(B46="",D46="",E46=""),"",IF(I46="No",0,ROUND(E46*F46,2)))</f>
        <v/>
      </c>
      <c r="H46" s="15">
        <f>IF(B46="","",B46-WEEKDAY(B46,2)+1)</f>
        <v/>
      </c>
      <c r="I46" s="26" t="n"/>
      <c r="K46" s="25" t="n"/>
      <c r="L46" s="26" t="n"/>
      <c r="M46" s="26" t="n"/>
      <c r="N46" s="21" t="n"/>
      <c r="O46" s="22" t="n"/>
      <c r="P46" s="15">
        <f>IF(K46="","",K46-WEEKDAY(K46,2)+1)</f>
        <v/>
      </c>
    </row>
    <row r="47">
      <c r="B47" s="25" t="n"/>
      <c r="C47" s="26" t="n"/>
      <c r="D47" s="21" t="n"/>
      <c r="E47" s="27" t="n"/>
      <c r="F47" s="12">
        <f>IF(D47="","",IFERROR(VLOOKUP(D47,Ajustes!$B$15:$C$44,2,FALSE),0))</f>
        <v/>
      </c>
      <c r="G47" s="12">
        <f>IF(OR(B47="",D47="",E47=""),"",IF(I47="No",0,ROUND(E47*F47,2)))</f>
        <v/>
      </c>
      <c r="H47" s="15">
        <f>IF(B47="","",B47-WEEKDAY(B47,2)+1)</f>
        <v/>
      </c>
      <c r="I47" s="26" t="n"/>
    </row>
    <row r="48">
      <c r="B48" s="25" t="n"/>
      <c r="C48" s="26" t="n"/>
      <c r="D48" s="21" t="n"/>
      <c r="E48" s="27" t="n"/>
      <c r="F48" s="12">
        <f>IF(D48="","",IFERROR(VLOOKUP(D48,Ajustes!$B$15:$C$44,2,FALSE),0))</f>
        <v/>
      </c>
      <c r="G48" s="12">
        <f>IF(OR(B48="",D48="",E48=""),"",IF(I48="No",0,ROUND(E48*F48,2)))</f>
        <v/>
      </c>
      <c r="H48" s="15">
        <f>IF(B48="","",B48-WEEKDAY(B48,2)+1)</f>
        <v/>
      </c>
      <c r="I48" s="26" t="n"/>
    </row>
    <row r="49">
      <c r="B49" s="25" t="n"/>
      <c r="C49" s="26" t="n"/>
      <c r="D49" s="21" t="n"/>
      <c r="E49" s="27" t="n"/>
      <c r="F49" s="12">
        <f>IF(D49="","",IFERROR(VLOOKUP(D49,Ajustes!$B$15:$C$44,2,FALSE),0))</f>
        <v/>
      </c>
      <c r="G49" s="12">
        <f>IF(OR(B49="",D49="",E49=""),"",IF(I49="No",0,ROUND(E49*F49,2)))</f>
        <v/>
      </c>
      <c r="H49" s="15">
        <f>IF(B49="","",B49-WEEKDAY(B49,2)+1)</f>
        <v/>
      </c>
      <c r="I49" s="26" t="n"/>
    </row>
    <row r="50">
      <c r="B50" s="25" t="n"/>
      <c r="C50" s="26" t="n"/>
      <c r="D50" s="21" t="n"/>
      <c r="E50" s="27" t="n"/>
      <c r="F50" s="12">
        <f>IF(D50="","",IFERROR(VLOOKUP(D50,Ajustes!$B$15:$C$44,2,FALSE),0))</f>
        <v/>
      </c>
      <c r="G50" s="12">
        <f>IF(OR(B50="",D50="",E50=""),"",IF(I50="No",0,ROUND(E50*F50,2)))</f>
        <v/>
      </c>
      <c r="H50" s="15">
        <f>IF(B50="","",B50-WEEKDAY(B50,2)+1)</f>
        <v/>
      </c>
      <c r="I50" s="26" t="n"/>
    </row>
    <row r="51">
      <c r="B51" s="25" t="n"/>
      <c r="C51" s="26" t="n"/>
      <c r="D51" s="21" t="n"/>
      <c r="E51" s="27" t="n"/>
      <c r="F51" s="12">
        <f>IF(D51="","",IFERROR(VLOOKUP(D51,Ajustes!$B$15:$C$44,2,FALSE),0))</f>
        <v/>
      </c>
      <c r="G51" s="12">
        <f>IF(OR(B51="",D51="",E51=""),"",IF(I51="No",0,ROUND(E51*F51,2)))</f>
        <v/>
      </c>
      <c r="H51" s="15">
        <f>IF(B51="","",B51-WEEKDAY(B51,2)+1)</f>
        <v/>
      </c>
      <c r="I51" s="26" t="n"/>
    </row>
    <row r="52">
      <c r="B52" s="25" t="n"/>
      <c r="C52" s="26" t="n"/>
      <c r="D52" s="21" t="n"/>
      <c r="E52" s="27" t="n"/>
      <c r="F52" s="12">
        <f>IF(D52="","",IFERROR(VLOOKUP(D52,Ajustes!$B$15:$C$44,2,FALSE),0))</f>
        <v/>
      </c>
      <c r="G52" s="12">
        <f>IF(OR(B52="",D52="",E52=""),"",IF(I52="No",0,ROUND(E52*F52,2)))</f>
        <v/>
      </c>
      <c r="H52" s="15">
        <f>IF(B52="","",B52-WEEKDAY(B52,2)+1)</f>
        <v/>
      </c>
      <c r="I52" s="26" t="n"/>
    </row>
    <row r="53">
      <c r="B53" s="25" t="n"/>
      <c r="C53" s="26" t="n"/>
      <c r="D53" s="21" t="n"/>
      <c r="E53" s="27" t="n"/>
      <c r="F53" s="12">
        <f>IF(D53="","",IFERROR(VLOOKUP(D53,Ajustes!$B$15:$C$44,2,FALSE),0))</f>
        <v/>
      </c>
      <c r="G53" s="12">
        <f>IF(OR(B53="",D53="",E53=""),"",IF(I53="No",0,ROUND(E53*F53,2)))</f>
        <v/>
      </c>
      <c r="H53" s="15">
        <f>IF(B53="","",B53-WEEKDAY(B53,2)+1)</f>
        <v/>
      </c>
      <c r="I53" s="26" t="n"/>
    </row>
    <row r="54">
      <c r="B54" s="25" t="n"/>
      <c r="C54" s="26" t="n"/>
      <c r="D54" s="21" t="n"/>
      <c r="E54" s="27" t="n"/>
      <c r="F54" s="12">
        <f>IF(D54="","",IFERROR(VLOOKUP(D54,Ajustes!$B$15:$C$44,2,FALSE),0))</f>
        <v/>
      </c>
      <c r="G54" s="12">
        <f>IF(OR(B54="",D54="",E54=""),"",IF(I54="No",0,ROUND(E54*F54,2)))</f>
        <v/>
      </c>
      <c r="H54" s="15">
        <f>IF(B54="","",B54-WEEKDAY(B54,2)+1)</f>
        <v/>
      </c>
      <c r="I54" s="26" t="n"/>
    </row>
    <row r="55">
      <c r="B55" s="25" t="n"/>
      <c r="C55" s="26" t="n"/>
      <c r="D55" s="21" t="n"/>
      <c r="E55" s="27" t="n"/>
      <c r="F55" s="12">
        <f>IF(D55="","",IFERROR(VLOOKUP(D55,Ajustes!$B$15:$C$44,2,FALSE),0))</f>
        <v/>
      </c>
      <c r="G55" s="12">
        <f>IF(OR(B55="",D55="",E55=""),"",IF(I55="No",0,ROUND(E55*F55,2)))</f>
        <v/>
      </c>
      <c r="H55" s="15">
        <f>IF(B55="","",B55-WEEKDAY(B55,2)+1)</f>
        <v/>
      </c>
      <c r="I55" s="26" t="n"/>
    </row>
    <row r="56">
      <c r="B56" s="25" t="n"/>
      <c r="C56" s="26" t="n"/>
      <c r="D56" s="21" t="n"/>
      <c r="E56" s="27" t="n"/>
      <c r="F56" s="12">
        <f>IF(D56="","",IFERROR(VLOOKUP(D56,Ajustes!$B$15:$C$44,2,FALSE),0))</f>
        <v/>
      </c>
      <c r="G56" s="12">
        <f>IF(OR(B56="",D56="",E56=""),"",IF(I56="No",0,ROUND(E56*F56,2)))</f>
        <v/>
      </c>
      <c r="H56" s="15">
        <f>IF(B56="","",B56-WEEKDAY(B56,2)+1)</f>
        <v/>
      </c>
      <c r="I56" s="26" t="n"/>
    </row>
    <row r="57">
      <c r="B57" s="25" t="n"/>
      <c r="C57" s="26" t="n"/>
      <c r="D57" s="21" t="n"/>
      <c r="E57" s="27" t="n"/>
      <c r="F57" s="12">
        <f>IF(D57="","",IFERROR(VLOOKUP(D57,Ajustes!$B$15:$C$44,2,FALSE),0))</f>
        <v/>
      </c>
      <c r="G57" s="12">
        <f>IF(OR(B57="",D57="",E57=""),"",IF(I57="No",0,ROUND(E57*F57,2)))</f>
        <v/>
      </c>
      <c r="H57" s="15">
        <f>IF(B57="","",B57-WEEKDAY(B57,2)+1)</f>
        <v/>
      </c>
      <c r="I57" s="26" t="n"/>
    </row>
    <row r="58">
      <c r="B58" s="25" t="n"/>
      <c r="C58" s="26" t="n"/>
      <c r="D58" s="21" t="n"/>
      <c r="E58" s="27" t="n"/>
      <c r="F58" s="12">
        <f>IF(D58="","",IFERROR(VLOOKUP(D58,Ajustes!$B$15:$C$44,2,FALSE),0))</f>
        <v/>
      </c>
      <c r="G58" s="12">
        <f>IF(OR(B58="",D58="",E58=""),"",IF(I58="No",0,ROUND(E58*F58,2)))</f>
        <v/>
      </c>
      <c r="H58" s="15">
        <f>IF(B58="","",B58-WEEKDAY(B58,2)+1)</f>
        <v/>
      </c>
      <c r="I58" s="26" t="n"/>
    </row>
    <row r="59">
      <c r="B59" s="25" t="n"/>
      <c r="C59" s="26" t="n"/>
      <c r="D59" s="21" t="n"/>
      <c r="E59" s="27" t="n"/>
      <c r="F59" s="12">
        <f>IF(D59="","",IFERROR(VLOOKUP(D59,Ajustes!$B$15:$C$44,2,FALSE),0))</f>
        <v/>
      </c>
      <c r="G59" s="12">
        <f>IF(OR(B59="",D59="",E59=""),"",IF(I59="No",0,ROUND(E59*F59,2)))</f>
        <v/>
      </c>
      <c r="H59" s="15">
        <f>IF(B59="","",B59-WEEKDAY(B59,2)+1)</f>
        <v/>
      </c>
      <c r="I59" s="26" t="n"/>
    </row>
    <row r="60">
      <c r="B60" s="25" t="n"/>
      <c r="C60" s="26" t="n"/>
      <c r="D60" s="21" t="n"/>
      <c r="E60" s="27" t="n"/>
      <c r="F60" s="12">
        <f>IF(D60="","",IFERROR(VLOOKUP(D60,Ajustes!$B$15:$C$44,2,FALSE),0))</f>
        <v/>
      </c>
      <c r="G60" s="12">
        <f>IF(OR(B60="",D60="",E60=""),"",IF(I60="No",0,ROUND(E60*F60,2)))</f>
        <v/>
      </c>
      <c r="H60" s="15">
        <f>IF(B60="","",B60-WEEKDAY(B60,2)+1)</f>
        <v/>
      </c>
      <c r="I60" s="26" t="n"/>
    </row>
    <row r="61">
      <c r="B61" s="25" t="n"/>
      <c r="C61" s="26" t="n"/>
      <c r="D61" s="21" t="n"/>
      <c r="E61" s="27" t="n"/>
      <c r="F61" s="12">
        <f>IF(D61="","",IFERROR(VLOOKUP(D61,Ajustes!$B$15:$C$44,2,FALSE),0))</f>
        <v/>
      </c>
      <c r="G61" s="12">
        <f>IF(OR(B61="",D61="",E61=""),"",IF(I61="No",0,ROUND(E61*F61,2)))</f>
        <v/>
      </c>
      <c r="H61" s="15">
        <f>IF(B61="","",B61-WEEKDAY(B61,2)+1)</f>
        <v/>
      </c>
      <c r="I61" s="26" t="n"/>
    </row>
    <row r="62">
      <c r="B62" s="25" t="n"/>
      <c r="C62" s="26" t="n"/>
      <c r="D62" s="21" t="n"/>
      <c r="E62" s="27" t="n"/>
      <c r="F62" s="12">
        <f>IF(D62="","",IFERROR(VLOOKUP(D62,Ajustes!$B$15:$C$44,2,FALSE),0))</f>
        <v/>
      </c>
      <c r="G62" s="12">
        <f>IF(OR(B62="",D62="",E62=""),"",IF(I62="No",0,ROUND(E62*F62,2)))</f>
        <v/>
      </c>
      <c r="H62" s="15">
        <f>IF(B62="","",B62-WEEKDAY(B62,2)+1)</f>
        <v/>
      </c>
      <c r="I62" s="26" t="n"/>
    </row>
    <row r="63">
      <c r="B63" s="25" t="n"/>
      <c r="C63" s="26" t="n"/>
      <c r="D63" s="21" t="n"/>
      <c r="E63" s="27" t="n"/>
      <c r="F63" s="12">
        <f>IF(D63="","",IFERROR(VLOOKUP(D63,Ajustes!$B$15:$C$44,2,FALSE),0))</f>
        <v/>
      </c>
      <c r="G63" s="12">
        <f>IF(OR(B63="",D63="",E63=""),"",IF(I63="No",0,ROUND(E63*F63,2)))</f>
        <v/>
      </c>
      <c r="H63" s="15">
        <f>IF(B63="","",B63-WEEKDAY(B63,2)+1)</f>
        <v/>
      </c>
      <c r="I63" s="26" t="n"/>
    </row>
    <row r="64">
      <c r="B64" s="25" t="n"/>
      <c r="C64" s="26" t="n"/>
      <c r="D64" s="21" t="n"/>
      <c r="E64" s="27" t="n"/>
      <c r="F64" s="12">
        <f>IF(D64="","",IFERROR(VLOOKUP(D64,Ajustes!$B$15:$C$44,2,FALSE),0))</f>
        <v/>
      </c>
      <c r="G64" s="12">
        <f>IF(OR(B64="",D64="",E64=""),"",IF(I64="No",0,ROUND(E64*F64,2)))</f>
        <v/>
      </c>
      <c r="H64" s="15">
        <f>IF(B64="","",B64-WEEKDAY(B64,2)+1)</f>
        <v/>
      </c>
      <c r="I64" s="26" t="n"/>
    </row>
    <row r="65">
      <c r="B65" s="25" t="n"/>
      <c r="C65" s="26" t="n"/>
      <c r="D65" s="21" t="n"/>
      <c r="E65" s="27" t="n"/>
      <c r="F65" s="12">
        <f>IF(D65="","",IFERROR(VLOOKUP(D65,Ajustes!$B$15:$C$44,2,FALSE),0))</f>
        <v/>
      </c>
      <c r="G65" s="12">
        <f>IF(OR(B65="",D65="",E65=""),"",IF(I65="No",0,ROUND(E65*F65,2)))</f>
        <v/>
      </c>
      <c r="H65" s="15">
        <f>IF(B65="","",B65-WEEKDAY(B65,2)+1)</f>
        <v/>
      </c>
      <c r="I65" s="26" t="n"/>
    </row>
    <row r="66">
      <c r="B66" s="25" t="n"/>
      <c r="C66" s="26" t="n"/>
      <c r="D66" s="21" t="n"/>
      <c r="E66" s="27" t="n"/>
      <c r="F66" s="12">
        <f>IF(D66="","",IFERROR(VLOOKUP(D66,Ajustes!$B$15:$C$44,2,FALSE),0))</f>
        <v/>
      </c>
      <c r="G66" s="12">
        <f>IF(OR(B66="",D66="",E66=""),"",IF(I66="No",0,ROUND(E66*F66,2)))</f>
        <v/>
      </c>
      <c r="H66" s="15">
        <f>IF(B66="","",B66-WEEKDAY(B66,2)+1)</f>
        <v/>
      </c>
      <c r="I66" s="26" t="n"/>
    </row>
    <row r="68">
      <c r="B68" s="20" t="inlineStr">
        <is>
          <t>Si una tarea no está bien hecha, pon "No" en ¿Validada? y no cobrará nada. El valor por vez se toma del catálogo de la hoja Ajustes.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I7:I66">
    <cfRule type="cellIs" priority="1" operator="equal" dxfId="1">
      <formula>"No"</formula>
    </cfRule>
  </conditionalFormatting>
  <conditionalFormatting sqref="M7:M46">
    <cfRule type="cellIs" priority="2" operator="equal" dxfId="2">
      <formula>"Gasto"</formula>
    </cfRule>
    <cfRule type="cellIs" priority="3" operator="equal" dxfId="0">
      <formula>"Regalo"</formula>
    </cfRule>
  </conditionalFormatting>
  <conditionalFormatting sqref="G7:G66">
    <cfRule type="dataBar" priority="4">
      <dataBar>
        <cfvo type="num" val="0"/>
        <cfvo type="max"/>
        <color rgb="0010B981"/>
      </dataBar>
    </cfRule>
  </conditionalFormatting>
  <dataValidations count="5">
    <dataValidation sqref="C7:C66" showDropDown="0" showInputMessage="0" showErrorMessage="0" allowBlank="1" type="list">
      <formula1>=Ajustes!$B$7:$B$10</formula1>
    </dataValidation>
    <dataValidation sqref="D7:D66" showDropDown="0" showInputMessage="0" showErrorMessage="0" allowBlank="1" type="list">
      <formula1>=Ajustes!$B$15:$B$44</formula1>
    </dataValidation>
    <dataValidation sqref="I7:I66" showDropDown="0" showInputMessage="0" showErrorMessage="0" allowBlank="1" type="list">
      <formula1>"Sí,No"</formula1>
    </dataValidation>
    <dataValidation sqref="L7:L46" showDropDown="0" showInputMessage="0" showErrorMessage="0" allowBlank="1" type="list">
      <formula1>=Ajustes!$B$7:$B$10</formula1>
    </dataValidation>
    <dataValidation sqref="M7:M46" showDropDown="0" showInputMessage="0" showErrorMessage="0" allowBlank="1" type="list">
      <formula1>"Gasto,Regalo"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M6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3" customWidth="1" min="4" max="4"/>
    <col width="12" customWidth="1" min="5" max="5"/>
    <col width="12" customWidth="1" min="6" max="6"/>
    <col width="10" customWidth="1" min="7" max="7"/>
    <col width="12" customWidth="1" min="8" max="8"/>
    <col width="13" customWidth="1" min="9" max="9"/>
    <col width="12" customWidth="1" min="10" max="10"/>
    <col width="12" customWidth="1" min="11" max="11"/>
    <col width="13" customWidth="1" min="12" max="12"/>
    <col width="16" customWidth="1" min="13" max="13"/>
  </cols>
  <sheetData>
    <row r="2" ht="34" customHeight="1">
      <c r="B2" s="1" t="inlineStr">
        <is>
          <t>Paga semanal por hijo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hijo y semana: suma tareas + paga base, separa el ahorro y calcula lo que le queda para gastar.</t>
        </is>
      </c>
    </row>
    <row r="4">
      <c r="B4" s="20" t="inlineStr">
        <is>
          <t>Escribe el lunes de cada semana y elige al hijo/a; el resto se calcula solo desde Registro y Ajustes.</t>
        </is>
      </c>
    </row>
    <row r="6" ht="34" customHeight="1">
      <c r="B6" s="9" t="inlineStr">
        <is>
          <t>Semana (lunes)</t>
        </is>
      </c>
      <c r="C6" s="9" t="inlineStr">
        <is>
          <t>Hijo/a</t>
        </is>
      </c>
      <c r="D6" s="9" t="inlineStr">
        <is>
          <t>Ganado en tareas</t>
        </is>
      </c>
      <c r="E6" s="9" t="inlineStr">
        <is>
          <t>Paga base</t>
        </is>
      </c>
      <c r="F6" s="9" t="inlineStr">
        <is>
          <t>Paga total</t>
        </is>
      </c>
      <c r="G6" s="9" t="inlineStr">
        <is>
          <t>% ahorro</t>
        </is>
      </c>
      <c r="H6" s="9" t="inlineStr">
        <is>
          <t>Ahorro</t>
        </is>
      </c>
      <c r="I6" s="9" t="inlineStr">
        <is>
          <t>Para gastar</t>
        </is>
      </c>
      <c r="J6" s="9" t="inlineStr">
        <is>
          <t>Gastado</t>
        </is>
      </c>
      <c r="K6" s="9" t="inlineStr">
        <is>
          <t>Regalos</t>
        </is>
      </c>
      <c r="L6" s="9" t="inlineStr">
        <is>
          <t>Saldo de la semana</t>
        </is>
      </c>
      <c r="M6" s="9" t="inlineStr">
        <is>
          <t>Estado</t>
        </is>
      </c>
    </row>
    <row r="7">
      <c r="B7" s="25" t="n">
        <v>46272</v>
      </c>
      <c r="C7" s="26" t="inlineStr">
        <is>
          <t>Lucía</t>
        </is>
      </c>
      <c r="D7" s="12">
        <f>IF(OR(B7="",C7=""),"",SUMIFS(Registro!$G$7:$G$66,Registro!$C$7:$C$66,C7,Registro!$H$7:$H$66,B7))</f>
        <v/>
      </c>
      <c r="E7" s="12">
        <f>IF(D7="","",IFERROR(VLOOKUP(C7,Ajustes!$B$7:$G$10,2,FALSE),0))</f>
        <v/>
      </c>
      <c r="F7" s="28">
        <f>IF(D7="","",D7+E7)</f>
        <v/>
      </c>
      <c r="G7" s="29">
        <f>IF(D7="","",IFERROR(VLOOKUP(C7,Ajustes!$B$7:$G$10,3,FALSE),0))</f>
        <v/>
      </c>
      <c r="H7" s="12">
        <f>IF(D7="","",ROUND(F7*G7,2))</f>
        <v/>
      </c>
      <c r="I7" s="12">
        <f>IF(D7="","",F7-H7)</f>
        <v/>
      </c>
      <c r="J7" s="12">
        <f>IF(D7="","",SUMIFS(Registro!$O$7:$O$46,Registro!$L$7:$L$46,C7,Registro!$M$7:$M$46,"Gasto",Registro!$K$7:$K$46,"&gt;="&amp;B7,Registro!$K$7:$K$46,"&lt;"&amp;(B7+7)))</f>
        <v/>
      </c>
      <c r="K7" s="12">
        <f>IF(D7="","",SUMIFS(Registro!$O$7:$O$46,Registro!$L$7:$L$46,C7,Registro!$M$7:$M$46,"Regalo",Registro!$K$7:$K$46,"&gt;="&amp;B7,Registro!$K$7:$K$46,"&lt;"&amp;(B7+7)))</f>
        <v/>
      </c>
      <c r="L7" s="12">
        <f>IF(D7="","",I7+K7-J7)</f>
        <v/>
      </c>
      <c r="M7" s="30">
        <f>IF(D7="","",IF(L7&lt;0,"Gastó de más",IF(L7=0,"Justo","Le sobra")))</f>
        <v/>
      </c>
    </row>
    <row r="8">
      <c r="B8" s="25" t="n">
        <v>46272</v>
      </c>
      <c r="C8" s="26" t="inlineStr">
        <is>
          <t>Mateo</t>
        </is>
      </c>
      <c r="D8" s="12">
        <f>IF(OR(B8="",C8=""),"",SUMIFS(Registro!$G$7:$G$66,Registro!$C$7:$C$66,C8,Registro!$H$7:$H$66,B8))</f>
        <v/>
      </c>
      <c r="E8" s="12">
        <f>IF(D8="","",IFERROR(VLOOKUP(C8,Ajustes!$B$7:$G$10,2,FALSE),0))</f>
        <v/>
      </c>
      <c r="F8" s="28">
        <f>IF(D8="","",D8+E8)</f>
        <v/>
      </c>
      <c r="G8" s="29">
        <f>IF(D8="","",IFERROR(VLOOKUP(C8,Ajustes!$B$7:$G$10,3,FALSE),0))</f>
        <v/>
      </c>
      <c r="H8" s="12">
        <f>IF(D8="","",ROUND(F8*G8,2))</f>
        <v/>
      </c>
      <c r="I8" s="12">
        <f>IF(D8="","",F8-H8)</f>
        <v/>
      </c>
      <c r="J8" s="12">
        <f>IF(D8="","",SUMIFS(Registro!$O$7:$O$46,Registro!$L$7:$L$46,C8,Registro!$M$7:$M$46,"Gasto",Registro!$K$7:$K$46,"&gt;="&amp;B8,Registro!$K$7:$K$46,"&lt;"&amp;(B8+7)))</f>
        <v/>
      </c>
      <c r="K8" s="12">
        <f>IF(D8="","",SUMIFS(Registro!$O$7:$O$46,Registro!$L$7:$L$46,C8,Registro!$M$7:$M$46,"Regalo",Registro!$K$7:$K$46,"&gt;="&amp;B8,Registro!$K$7:$K$46,"&lt;"&amp;(B8+7)))</f>
        <v/>
      </c>
      <c r="L8" s="12">
        <f>IF(D8="","",I8+K8-J8)</f>
        <v/>
      </c>
      <c r="M8" s="30">
        <f>IF(D8="","",IF(L8&lt;0,"Gastó de más",IF(L8=0,"Justo","Le sobra")))</f>
        <v/>
      </c>
    </row>
    <row r="9">
      <c r="B9" s="25" t="n">
        <v>46272</v>
      </c>
      <c r="C9" s="26" t="inlineStr">
        <is>
          <t>Hugo</t>
        </is>
      </c>
      <c r="D9" s="12">
        <f>IF(OR(B9="",C9=""),"",SUMIFS(Registro!$G$7:$G$66,Registro!$C$7:$C$66,C9,Registro!$H$7:$H$66,B9))</f>
        <v/>
      </c>
      <c r="E9" s="12">
        <f>IF(D9="","",IFERROR(VLOOKUP(C9,Ajustes!$B$7:$G$10,2,FALSE),0))</f>
        <v/>
      </c>
      <c r="F9" s="28">
        <f>IF(D9="","",D9+E9)</f>
        <v/>
      </c>
      <c r="G9" s="29">
        <f>IF(D9="","",IFERROR(VLOOKUP(C9,Ajustes!$B$7:$G$10,3,FALSE),0))</f>
        <v/>
      </c>
      <c r="H9" s="12">
        <f>IF(D9="","",ROUND(F9*G9,2))</f>
        <v/>
      </c>
      <c r="I9" s="12">
        <f>IF(D9="","",F9-H9)</f>
        <v/>
      </c>
      <c r="J9" s="12">
        <f>IF(D9="","",SUMIFS(Registro!$O$7:$O$46,Registro!$L$7:$L$46,C9,Registro!$M$7:$M$46,"Gasto",Registro!$K$7:$K$46,"&gt;="&amp;B9,Registro!$K$7:$K$46,"&lt;"&amp;(B9+7)))</f>
        <v/>
      </c>
      <c r="K9" s="12">
        <f>IF(D9="","",SUMIFS(Registro!$O$7:$O$46,Registro!$L$7:$L$46,C9,Registro!$M$7:$M$46,"Regalo",Registro!$K$7:$K$46,"&gt;="&amp;B9,Registro!$K$7:$K$46,"&lt;"&amp;(B9+7)))</f>
        <v/>
      </c>
      <c r="L9" s="12">
        <f>IF(D9="","",I9+K9-J9)</f>
        <v/>
      </c>
      <c r="M9" s="30">
        <f>IF(D9="","",IF(L9&lt;0,"Gastó de más",IF(L9=0,"Justo","Le sobra")))</f>
        <v/>
      </c>
    </row>
    <row r="10">
      <c r="B10" s="25" t="n">
        <v>46279</v>
      </c>
      <c r="C10" s="26" t="inlineStr">
        <is>
          <t>Lucía</t>
        </is>
      </c>
      <c r="D10" s="12">
        <f>IF(OR(B10="",C10=""),"",SUMIFS(Registro!$G$7:$G$66,Registro!$C$7:$C$66,C10,Registro!$H$7:$H$66,B10))</f>
        <v/>
      </c>
      <c r="E10" s="12">
        <f>IF(D10="","",IFERROR(VLOOKUP(C10,Ajustes!$B$7:$G$10,2,FALSE),0))</f>
        <v/>
      </c>
      <c r="F10" s="28">
        <f>IF(D10="","",D10+E10)</f>
        <v/>
      </c>
      <c r="G10" s="29">
        <f>IF(D10="","",IFERROR(VLOOKUP(C10,Ajustes!$B$7:$G$10,3,FALSE),0))</f>
        <v/>
      </c>
      <c r="H10" s="12">
        <f>IF(D10="","",ROUND(F10*G10,2))</f>
        <v/>
      </c>
      <c r="I10" s="12">
        <f>IF(D10="","",F10-H10)</f>
        <v/>
      </c>
      <c r="J10" s="12">
        <f>IF(D10="","",SUMIFS(Registro!$O$7:$O$46,Registro!$L$7:$L$46,C10,Registro!$M$7:$M$46,"Gasto",Registro!$K$7:$K$46,"&gt;="&amp;B10,Registro!$K$7:$K$46,"&lt;"&amp;(B10+7)))</f>
        <v/>
      </c>
      <c r="K10" s="12">
        <f>IF(D10="","",SUMIFS(Registro!$O$7:$O$46,Registro!$L$7:$L$46,C10,Registro!$M$7:$M$46,"Regalo",Registro!$K$7:$K$46,"&gt;="&amp;B10,Registro!$K$7:$K$46,"&lt;"&amp;(B10+7)))</f>
        <v/>
      </c>
      <c r="L10" s="12">
        <f>IF(D10="","",I10+K10-J10)</f>
        <v/>
      </c>
      <c r="M10" s="30">
        <f>IF(D10="","",IF(L10&lt;0,"Gastó de más",IF(L10=0,"Justo","Le sobra")))</f>
        <v/>
      </c>
    </row>
    <row r="11">
      <c r="B11" s="25" t="n">
        <v>46279</v>
      </c>
      <c r="C11" s="26" t="inlineStr">
        <is>
          <t>Mateo</t>
        </is>
      </c>
      <c r="D11" s="12">
        <f>IF(OR(B11="",C11=""),"",SUMIFS(Registro!$G$7:$G$66,Registro!$C$7:$C$66,C11,Registro!$H$7:$H$66,B11))</f>
        <v/>
      </c>
      <c r="E11" s="12">
        <f>IF(D11="","",IFERROR(VLOOKUP(C11,Ajustes!$B$7:$G$10,2,FALSE),0))</f>
        <v/>
      </c>
      <c r="F11" s="28">
        <f>IF(D11="","",D11+E11)</f>
        <v/>
      </c>
      <c r="G11" s="29">
        <f>IF(D11="","",IFERROR(VLOOKUP(C11,Ajustes!$B$7:$G$10,3,FALSE),0))</f>
        <v/>
      </c>
      <c r="H11" s="12">
        <f>IF(D11="","",ROUND(F11*G11,2))</f>
        <v/>
      </c>
      <c r="I11" s="12">
        <f>IF(D11="","",F11-H11)</f>
        <v/>
      </c>
      <c r="J11" s="12">
        <f>IF(D11="","",SUMIFS(Registro!$O$7:$O$46,Registro!$L$7:$L$46,C11,Registro!$M$7:$M$46,"Gasto",Registro!$K$7:$K$46,"&gt;="&amp;B11,Registro!$K$7:$K$46,"&lt;"&amp;(B11+7)))</f>
        <v/>
      </c>
      <c r="K11" s="12">
        <f>IF(D11="","",SUMIFS(Registro!$O$7:$O$46,Registro!$L$7:$L$46,C11,Registro!$M$7:$M$46,"Regalo",Registro!$K$7:$K$46,"&gt;="&amp;B11,Registro!$K$7:$K$46,"&lt;"&amp;(B11+7)))</f>
        <v/>
      </c>
      <c r="L11" s="12">
        <f>IF(D11="","",I11+K11-J11)</f>
        <v/>
      </c>
      <c r="M11" s="30">
        <f>IF(D11="","",IF(L11&lt;0,"Gastó de más",IF(L11=0,"Justo","Le sobra")))</f>
        <v/>
      </c>
    </row>
    <row r="12">
      <c r="B12" s="25" t="n">
        <v>46279</v>
      </c>
      <c r="C12" s="26" t="inlineStr">
        <is>
          <t>Hugo</t>
        </is>
      </c>
      <c r="D12" s="12">
        <f>IF(OR(B12="",C12=""),"",SUMIFS(Registro!$G$7:$G$66,Registro!$C$7:$C$66,C12,Registro!$H$7:$H$66,B12))</f>
        <v/>
      </c>
      <c r="E12" s="12">
        <f>IF(D12="","",IFERROR(VLOOKUP(C12,Ajustes!$B$7:$G$10,2,FALSE),0))</f>
        <v/>
      </c>
      <c r="F12" s="28">
        <f>IF(D12="","",D12+E12)</f>
        <v/>
      </c>
      <c r="G12" s="29">
        <f>IF(D12="","",IFERROR(VLOOKUP(C12,Ajustes!$B$7:$G$10,3,FALSE),0))</f>
        <v/>
      </c>
      <c r="H12" s="12">
        <f>IF(D12="","",ROUND(F12*G12,2))</f>
        <v/>
      </c>
      <c r="I12" s="12">
        <f>IF(D12="","",F12-H12)</f>
        <v/>
      </c>
      <c r="J12" s="12">
        <f>IF(D12="","",SUMIFS(Registro!$O$7:$O$46,Registro!$L$7:$L$46,C12,Registro!$M$7:$M$46,"Gasto",Registro!$K$7:$K$46,"&gt;="&amp;B12,Registro!$K$7:$K$46,"&lt;"&amp;(B12+7)))</f>
        <v/>
      </c>
      <c r="K12" s="12">
        <f>IF(D12="","",SUMIFS(Registro!$O$7:$O$46,Registro!$L$7:$L$46,C12,Registro!$M$7:$M$46,"Regalo",Registro!$K$7:$K$46,"&gt;="&amp;B12,Registro!$K$7:$K$46,"&lt;"&amp;(B12+7)))</f>
        <v/>
      </c>
      <c r="L12" s="12">
        <f>IF(D12="","",I12+K12-J12)</f>
        <v/>
      </c>
      <c r="M12" s="30">
        <f>IF(D12="","",IF(L12&lt;0,"Gastó de más",IF(L12=0,"Justo","Le sobra")))</f>
        <v/>
      </c>
    </row>
    <row r="13">
      <c r="B13" s="25" t="n">
        <v>46286</v>
      </c>
      <c r="C13" s="26" t="inlineStr">
        <is>
          <t>Lucía</t>
        </is>
      </c>
      <c r="D13" s="12">
        <f>IF(OR(B13="",C13=""),"",SUMIFS(Registro!$G$7:$G$66,Registro!$C$7:$C$66,C13,Registro!$H$7:$H$66,B13))</f>
        <v/>
      </c>
      <c r="E13" s="12">
        <f>IF(D13="","",IFERROR(VLOOKUP(C13,Ajustes!$B$7:$G$10,2,FALSE),0))</f>
        <v/>
      </c>
      <c r="F13" s="28">
        <f>IF(D13="","",D13+E13)</f>
        <v/>
      </c>
      <c r="G13" s="29">
        <f>IF(D13="","",IFERROR(VLOOKUP(C13,Ajustes!$B$7:$G$10,3,FALSE),0))</f>
        <v/>
      </c>
      <c r="H13" s="12">
        <f>IF(D13="","",ROUND(F13*G13,2))</f>
        <v/>
      </c>
      <c r="I13" s="12">
        <f>IF(D13="","",F13-H13)</f>
        <v/>
      </c>
      <c r="J13" s="12">
        <f>IF(D13="","",SUMIFS(Registro!$O$7:$O$46,Registro!$L$7:$L$46,C13,Registro!$M$7:$M$46,"Gasto",Registro!$K$7:$K$46,"&gt;="&amp;B13,Registro!$K$7:$K$46,"&lt;"&amp;(B13+7)))</f>
        <v/>
      </c>
      <c r="K13" s="12">
        <f>IF(D13="","",SUMIFS(Registro!$O$7:$O$46,Registro!$L$7:$L$46,C13,Registro!$M$7:$M$46,"Regalo",Registro!$K$7:$K$46,"&gt;="&amp;B13,Registro!$K$7:$K$46,"&lt;"&amp;(B13+7)))</f>
        <v/>
      </c>
      <c r="L13" s="12">
        <f>IF(D13="","",I13+K13-J13)</f>
        <v/>
      </c>
      <c r="M13" s="30">
        <f>IF(D13="","",IF(L13&lt;0,"Gastó de más",IF(L13=0,"Justo","Le sobra")))</f>
        <v/>
      </c>
    </row>
    <row r="14">
      <c r="B14" s="25" t="n">
        <v>46286</v>
      </c>
      <c r="C14" s="26" t="inlineStr">
        <is>
          <t>Mateo</t>
        </is>
      </c>
      <c r="D14" s="12">
        <f>IF(OR(B14="",C14=""),"",SUMIFS(Registro!$G$7:$G$66,Registro!$C$7:$C$66,C14,Registro!$H$7:$H$66,B14))</f>
        <v/>
      </c>
      <c r="E14" s="12">
        <f>IF(D14="","",IFERROR(VLOOKUP(C14,Ajustes!$B$7:$G$10,2,FALSE),0))</f>
        <v/>
      </c>
      <c r="F14" s="28">
        <f>IF(D14="","",D14+E14)</f>
        <v/>
      </c>
      <c r="G14" s="29">
        <f>IF(D14="","",IFERROR(VLOOKUP(C14,Ajustes!$B$7:$G$10,3,FALSE),0))</f>
        <v/>
      </c>
      <c r="H14" s="12">
        <f>IF(D14="","",ROUND(F14*G14,2))</f>
        <v/>
      </c>
      <c r="I14" s="12">
        <f>IF(D14="","",F14-H14)</f>
        <v/>
      </c>
      <c r="J14" s="12">
        <f>IF(D14="","",SUMIFS(Registro!$O$7:$O$46,Registro!$L$7:$L$46,C14,Registro!$M$7:$M$46,"Gasto",Registro!$K$7:$K$46,"&gt;="&amp;B14,Registro!$K$7:$K$46,"&lt;"&amp;(B14+7)))</f>
        <v/>
      </c>
      <c r="K14" s="12">
        <f>IF(D14="","",SUMIFS(Registro!$O$7:$O$46,Registro!$L$7:$L$46,C14,Registro!$M$7:$M$46,"Regalo",Registro!$K$7:$K$46,"&gt;="&amp;B14,Registro!$K$7:$K$46,"&lt;"&amp;(B14+7)))</f>
        <v/>
      </c>
      <c r="L14" s="12">
        <f>IF(D14="","",I14+K14-J14)</f>
        <v/>
      </c>
      <c r="M14" s="30">
        <f>IF(D14="","",IF(L14&lt;0,"Gastó de más",IF(L14=0,"Justo","Le sobra")))</f>
        <v/>
      </c>
    </row>
    <row r="15">
      <c r="B15" s="25" t="n">
        <v>46286</v>
      </c>
      <c r="C15" s="26" t="inlineStr">
        <is>
          <t>Hugo</t>
        </is>
      </c>
      <c r="D15" s="12">
        <f>IF(OR(B15="",C15=""),"",SUMIFS(Registro!$G$7:$G$66,Registro!$C$7:$C$66,C15,Registro!$H$7:$H$66,B15))</f>
        <v/>
      </c>
      <c r="E15" s="12">
        <f>IF(D15="","",IFERROR(VLOOKUP(C15,Ajustes!$B$7:$G$10,2,FALSE),0))</f>
        <v/>
      </c>
      <c r="F15" s="28">
        <f>IF(D15="","",D15+E15)</f>
        <v/>
      </c>
      <c r="G15" s="29">
        <f>IF(D15="","",IFERROR(VLOOKUP(C15,Ajustes!$B$7:$G$10,3,FALSE),0))</f>
        <v/>
      </c>
      <c r="H15" s="12">
        <f>IF(D15="","",ROUND(F15*G15,2))</f>
        <v/>
      </c>
      <c r="I15" s="12">
        <f>IF(D15="","",F15-H15)</f>
        <v/>
      </c>
      <c r="J15" s="12">
        <f>IF(D15="","",SUMIFS(Registro!$O$7:$O$46,Registro!$L$7:$L$46,C15,Registro!$M$7:$M$46,"Gasto",Registro!$K$7:$K$46,"&gt;="&amp;B15,Registro!$K$7:$K$46,"&lt;"&amp;(B15+7)))</f>
        <v/>
      </c>
      <c r="K15" s="12">
        <f>IF(D15="","",SUMIFS(Registro!$O$7:$O$46,Registro!$L$7:$L$46,C15,Registro!$M$7:$M$46,"Regalo",Registro!$K$7:$K$46,"&gt;="&amp;B15,Registro!$K$7:$K$46,"&lt;"&amp;(B15+7)))</f>
        <v/>
      </c>
      <c r="L15" s="12">
        <f>IF(D15="","",I15+K15-J15)</f>
        <v/>
      </c>
      <c r="M15" s="30">
        <f>IF(D15="","",IF(L15&lt;0,"Gastó de más",IF(L15=0,"Justo","Le sobra")))</f>
        <v/>
      </c>
    </row>
    <row r="16">
      <c r="B16" s="25" t="n">
        <v>46293</v>
      </c>
      <c r="C16" s="26" t="inlineStr">
        <is>
          <t>Lucía</t>
        </is>
      </c>
      <c r="D16" s="12">
        <f>IF(OR(B16="",C16=""),"",SUMIFS(Registro!$G$7:$G$66,Registro!$C$7:$C$66,C16,Registro!$H$7:$H$66,B16))</f>
        <v/>
      </c>
      <c r="E16" s="12">
        <f>IF(D16="","",IFERROR(VLOOKUP(C16,Ajustes!$B$7:$G$10,2,FALSE),0))</f>
        <v/>
      </c>
      <c r="F16" s="28">
        <f>IF(D16="","",D16+E16)</f>
        <v/>
      </c>
      <c r="G16" s="29">
        <f>IF(D16="","",IFERROR(VLOOKUP(C16,Ajustes!$B$7:$G$10,3,FALSE),0))</f>
        <v/>
      </c>
      <c r="H16" s="12">
        <f>IF(D16="","",ROUND(F16*G16,2))</f>
        <v/>
      </c>
      <c r="I16" s="12">
        <f>IF(D16="","",F16-H16)</f>
        <v/>
      </c>
      <c r="J16" s="12">
        <f>IF(D16="","",SUMIFS(Registro!$O$7:$O$46,Registro!$L$7:$L$46,C16,Registro!$M$7:$M$46,"Gasto",Registro!$K$7:$K$46,"&gt;="&amp;B16,Registro!$K$7:$K$46,"&lt;"&amp;(B16+7)))</f>
        <v/>
      </c>
      <c r="K16" s="12">
        <f>IF(D16="","",SUMIFS(Registro!$O$7:$O$46,Registro!$L$7:$L$46,C16,Registro!$M$7:$M$46,"Regalo",Registro!$K$7:$K$46,"&gt;="&amp;B16,Registro!$K$7:$K$46,"&lt;"&amp;(B16+7)))</f>
        <v/>
      </c>
      <c r="L16" s="12">
        <f>IF(D16="","",I16+K16-J16)</f>
        <v/>
      </c>
      <c r="M16" s="30">
        <f>IF(D16="","",IF(L16&lt;0,"Gastó de más",IF(L16=0,"Justo","Le sobra")))</f>
        <v/>
      </c>
    </row>
    <row r="17">
      <c r="B17" s="25" t="n">
        <v>46293</v>
      </c>
      <c r="C17" s="26" t="inlineStr">
        <is>
          <t>Mateo</t>
        </is>
      </c>
      <c r="D17" s="12">
        <f>IF(OR(B17="",C17=""),"",SUMIFS(Registro!$G$7:$G$66,Registro!$C$7:$C$66,C17,Registro!$H$7:$H$66,B17))</f>
        <v/>
      </c>
      <c r="E17" s="12">
        <f>IF(D17="","",IFERROR(VLOOKUP(C17,Ajustes!$B$7:$G$10,2,FALSE),0))</f>
        <v/>
      </c>
      <c r="F17" s="28">
        <f>IF(D17="","",D17+E17)</f>
        <v/>
      </c>
      <c r="G17" s="29">
        <f>IF(D17="","",IFERROR(VLOOKUP(C17,Ajustes!$B$7:$G$10,3,FALSE),0))</f>
        <v/>
      </c>
      <c r="H17" s="12">
        <f>IF(D17="","",ROUND(F17*G17,2))</f>
        <v/>
      </c>
      <c r="I17" s="12">
        <f>IF(D17="","",F17-H17)</f>
        <v/>
      </c>
      <c r="J17" s="12">
        <f>IF(D17="","",SUMIFS(Registro!$O$7:$O$46,Registro!$L$7:$L$46,C17,Registro!$M$7:$M$46,"Gasto",Registro!$K$7:$K$46,"&gt;="&amp;B17,Registro!$K$7:$K$46,"&lt;"&amp;(B17+7)))</f>
        <v/>
      </c>
      <c r="K17" s="12">
        <f>IF(D17="","",SUMIFS(Registro!$O$7:$O$46,Registro!$L$7:$L$46,C17,Registro!$M$7:$M$46,"Regalo",Registro!$K$7:$K$46,"&gt;="&amp;B17,Registro!$K$7:$K$46,"&lt;"&amp;(B17+7)))</f>
        <v/>
      </c>
      <c r="L17" s="12">
        <f>IF(D17="","",I17+K17-J17)</f>
        <v/>
      </c>
      <c r="M17" s="30">
        <f>IF(D17="","",IF(L17&lt;0,"Gastó de más",IF(L17=0,"Justo","Le sobra")))</f>
        <v/>
      </c>
    </row>
    <row r="18">
      <c r="B18" s="25" t="n">
        <v>46293</v>
      </c>
      <c r="C18" s="26" t="inlineStr">
        <is>
          <t>Hugo</t>
        </is>
      </c>
      <c r="D18" s="12">
        <f>IF(OR(B18="",C18=""),"",SUMIFS(Registro!$G$7:$G$66,Registro!$C$7:$C$66,C18,Registro!$H$7:$H$66,B18))</f>
        <v/>
      </c>
      <c r="E18" s="12">
        <f>IF(D18="","",IFERROR(VLOOKUP(C18,Ajustes!$B$7:$G$10,2,FALSE),0))</f>
        <v/>
      </c>
      <c r="F18" s="28">
        <f>IF(D18="","",D18+E18)</f>
        <v/>
      </c>
      <c r="G18" s="29">
        <f>IF(D18="","",IFERROR(VLOOKUP(C18,Ajustes!$B$7:$G$10,3,FALSE),0))</f>
        <v/>
      </c>
      <c r="H18" s="12">
        <f>IF(D18="","",ROUND(F18*G18,2))</f>
        <v/>
      </c>
      <c r="I18" s="12">
        <f>IF(D18="","",F18-H18)</f>
        <v/>
      </c>
      <c r="J18" s="12">
        <f>IF(D18="","",SUMIFS(Registro!$O$7:$O$46,Registro!$L$7:$L$46,C18,Registro!$M$7:$M$46,"Gasto",Registro!$K$7:$K$46,"&gt;="&amp;B18,Registro!$K$7:$K$46,"&lt;"&amp;(B18+7)))</f>
        <v/>
      </c>
      <c r="K18" s="12">
        <f>IF(D18="","",SUMIFS(Registro!$O$7:$O$46,Registro!$L$7:$L$46,C18,Registro!$M$7:$M$46,"Regalo",Registro!$K$7:$K$46,"&gt;="&amp;B18,Registro!$K$7:$K$46,"&lt;"&amp;(B18+7)))</f>
        <v/>
      </c>
      <c r="L18" s="12">
        <f>IF(D18="","",I18+K18-J18)</f>
        <v/>
      </c>
      <c r="M18" s="30">
        <f>IF(D18="","",IF(L18&lt;0,"Gastó de más",IF(L18=0,"Justo","Le sobra")))</f>
        <v/>
      </c>
    </row>
    <row r="19">
      <c r="B19" s="25" t="n"/>
      <c r="C19" s="26" t="n"/>
      <c r="D19" s="12">
        <f>IF(OR(B19="",C19=""),"",SUMIFS(Registro!$G$7:$G$66,Registro!$C$7:$C$66,C19,Registro!$H$7:$H$66,B19))</f>
        <v/>
      </c>
      <c r="E19" s="12">
        <f>IF(D19="","",IFERROR(VLOOKUP(C19,Ajustes!$B$7:$G$10,2,FALSE),0))</f>
        <v/>
      </c>
      <c r="F19" s="28">
        <f>IF(D19="","",D19+E19)</f>
        <v/>
      </c>
      <c r="G19" s="29">
        <f>IF(D19="","",IFERROR(VLOOKUP(C19,Ajustes!$B$7:$G$10,3,FALSE),0))</f>
        <v/>
      </c>
      <c r="H19" s="12">
        <f>IF(D19="","",ROUND(F19*G19,2))</f>
        <v/>
      </c>
      <c r="I19" s="12">
        <f>IF(D19="","",F19-H19)</f>
        <v/>
      </c>
      <c r="J19" s="12">
        <f>IF(D19="","",SUMIFS(Registro!$O$7:$O$46,Registro!$L$7:$L$46,C19,Registro!$M$7:$M$46,"Gasto",Registro!$K$7:$K$46,"&gt;="&amp;B19,Registro!$K$7:$K$46,"&lt;"&amp;(B19+7)))</f>
        <v/>
      </c>
      <c r="K19" s="12">
        <f>IF(D19="","",SUMIFS(Registro!$O$7:$O$46,Registro!$L$7:$L$46,C19,Registro!$M$7:$M$46,"Regalo",Registro!$K$7:$K$46,"&gt;="&amp;B19,Registro!$K$7:$K$46,"&lt;"&amp;(B19+7)))</f>
        <v/>
      </c>
      <c r="L19" s="12">
        <f>IF(D19="","",I19+K19-J19)</f>
        <v/>
      </c>
      <c r="M19" s="30">
        <f>IF(D19="","",IF(L19&lt;0,"Gastó de más",IF(L19=0,"Justo","Le sobra")))</f>
        <v/>
      </c>
    </row>
    <row r="20">
      <c r="B20" s="25" t="n"/>
      <c r="C20" s="26" t="n"/>
      <c r="D20" s="12">
        <f>IF(OR(B20="",C20=""),"",SUMIFS(Registro!$G$7:$G$66,Registro!$C$7:$C$66,C20,Registro!$H$7:$H$66,B20))</f>
        <v/>
      </c>
      <c r="E20" s="12">
        <f>IF(D20="","",IFERROR(VLOOKUP(C20,Ajustes!$B$7:$G$10,2,FALSE),0))</f>
        <v/>
      </c>
      <c r="F20" s="28">
        <f>IF(D20="","",D20+E20)</f>
        <v/>
      </c>
      <c r="G20" s="29">
        <f>IF(D20="","",IFERROR(VLOOKUP(C20,Ajustes!$B$7:$G$10,3,FALSE),0))</f>
        <v/>
      </c>
      <c r="H20" s="12">
        <f>IF(D20="","",ROUND(F20*G20,2))</f>
        <v/>
      </c>
      <c r="I20" s="12">
        <f>IF(D20="","",F20-H20)</f>
        <v/>
      </c>
      <c r="J20" s="12">
        <f>IF(D20="","",SUMIFS(Registro!$O$7:$O$46,Registro!$L$7:$L$46,C20,Registro!$M$7:$M$46,"Gasto",Registro!$K$7:$K$46,"&gt;="&amp;B20,Registro!$K$7:$K$46,"&lt;"&amp;(B20+7)))</f>
        <v/>
      </c>
      <c r="K20" s="12">
        <f>IF(D20="","",SUMIFS(Registro!$O$7:$O$46,Registro!$L$7:$L$46,C20,Registro!$M$7:$M$46,"Regalo",Registro!$K$7:$K$46,"&gt;="&amp;B20,Registro!$K$7:$K$46,"&lt;"&amp;(B20+7)))</f>
        <v/>
      </c>
      <c r="L20" s="12">
        <f>IF(D20="","",I20+K20-J20)</f>
        <v/>
      </c>
      <c r="M20" s="30">
        <f>IF(D20="","",IF(L20&lt;0,"Gastó de más",IF(L20=0,"Justo","Le sobra")))</f>
        <v/>
      </c>
    </row>
    <row r="21">
      <c r="B21" s="25" t="n"/>
      <c r="C21" s="26" t="n"/>
      <c r="D21" s="12">
        <f>IF(OR(B21="",C21=""),"",SUMIFS(Registro!$G$7:$G$66,Registro!$C$7:$C$66,C21,Registro!$H$7:$H$66,B21))</f>
        <v/>
      </c>
      <c r="E21" s="12">
        <f>IF(D21="","",IFERROR(VLOOKUP(C21,Ajustes!$B$7:$G$10,2,FALSE),0))</f>
        <v/>
      </c>
      <c r="F21" s="28">
        <f>IF(D21="","",D21+E21)</f>
        <v/>
      </c>
      <c r="G21" s="29">
        <f>IF(D21="","",IFERROR(VLOOKUP(C21,Ajustes!$B$7:$G$10,3,FALSE),0))</f>
        <v/>
      </c>
      <c r="H21" s="12">
        <f>IF(D21="","",ROUND(F21*G21,2))</f>
        <v/>
      </c>
      <c r="I21" s="12">
        <f>IF(D21="","",F21-H21)</f>
        <v/>
      </c>
      <c r="J21" s="12">
        <f>IF(D21="","",SUMIFS(Registro!$O$7:$O$46,Registro!$L$7:$L$46,C21,Registro!$M$7:$M$46,"Gasto",Registro!$K$7:$K$46,"&gt;="&amp;B21,Registro!$K$7:$K$46,"&lt;"&amp;(B21+7)))</f>
        <v/>
      </c>
      <c r="K21" s="12">
        <f>IF(D21="","",SUMIFS(Registro!$O$7:$O$46,Registro!$L$7:$L$46,C21,Registro!$M$7:$M$46,"Regalo",Registro!$K$7:$K$46,"&gt;="&amp;B21,Registro!$K$7:$K$46,"&lt;"&amp;(B21+7)))</f>
        <v/>
      </c>
      <c r="L21" s="12">
        <f>IF(D21="","",I21+K21-J21)</f>
        <v/>
      </c>
      <c r="M21" s="30">
        <f>IF(D21="","",IF(L21&lt;0,"Gastó de más",IF(L21=0,"Justo","Le sobra")))</f>
        <v/>
      </c>
    </row>
    <row r="22">
      <c r="B22" s="25" t="n"/>
      <c r="C22" s="26" t="n"/>
      <c r="D22" s="12">
        <f>IF(OR(B22="",C22=""),"",SUMIFS(Registro!$G$7:$G$66,Registro!$C$7:$C$66,C22,Registro!$H$7:$H$66,B22))</f>
        <v/>
      </c>
      <c r="E22" s="12">
        <f>IF(D22="","",IFERROR(VLOOKUP(C22,Ajustes!$B$7:$G$10,2,FALSE),0))</f>
        <v/>
      </c>
      <c r="F22" s="28">
        <f>IF(D22="","",D22+E22)</f>
        <v/>
      </c>
      <c r="G22" s="29">
        <f>IF(D22="","",IFERROR(VLOOKUP(C22,Ajustes!$B$7:$G$10,3,FALSE),0))</f>
        <v/>
      </c>
      <c r="H22" s="12">
        <f>IF(D22="","",ROUND(F22*G22,2))</f>
        <v/>
      </c>
      <c r="I22" s="12">
        <f>IF(D22="","",F22-H22)</f>
        <v/>
      </c>
      <c r="J22" s="12">
        <f>IF(D22="","",SUMIFS(Registro!$O$7:$O$46,Registro!$L$7:$L$46,C22,Registro!$M$7:$M$46,"Gasto",Registro!$K$7:$K$46,"&gt;="&amp;B22,Registro!$K$7:$K$46,"&lt;"&amp;(B22+7)))</f>
        <v/>
      </c>
      <c r="K22" s="12">
        <f>IF(D22="","",SUMIFS(Registro!$O$7:$O$46,Registro!$L$7:$L$46,C22,Registro!$M$7:$M$46,"Regalo",Registro!$K$7:$K$46,"&gt;="&amp;B22,Registro!$K$7:$K$46,"&lt;"&amp;(B22+7)))</f>
        <v/>
      </c>
      <c r="L22" s="12">
        <f>IF(D22="","",I22+K22-J22)</f>
        <v/>
      </c>
      <c r="M22" s="30">
        <f>IF(D22="","",IF(L22&lt;0,"Gastó de más",IF(L22=0,"Justo","Le sobra")))</f>
        <v/>
      </c>
    </row>
    <row r="23">
      <c r="B23" s="25" t="n"/>
      <c r="C23" s="26" t="n"/>
      <c r="D23" s="12">
        <f>IF(OR(B23="",C23=""),"",SUMIFS(Registro!$G$7:$G$66,Registro!$C$7:$C$66,C23,Registro!$H$7:$H$66,B23))</f>
        <v/>
      </c>
      <c r="E23" s="12">
        <f>IF(D23="","",IFERROR(VLOOKUP(C23,Ajustes!$B$7:$G$10,2,FALSE),0))</f>
        <v/>
      </c>
      <c r="F23" s="28">
        <f>IF(D23="","",D23+E23)</f>
        <v/>
      </c>
      <c r="G23" s="29">
        <f>IF(D23="","",IFERROR(VLOOKUP(C23,Ajustes!$B$7:$G$10,3,FALSE),0))</f>
        <v/>
      </c>
      <c r="H23" s="12">
        <f>IF(D23="","",ROUND(F23*G23,2))</f>
        <v/>
      </c>
      <c r="I23" s="12">
        <f>IF(D23="","",F23-H23)</f>
        <v/>
      </c>
      <c r="J23" s="12">
        <f>IF(D23="","",SUMIFS(Registro!$O$7:$O$46,Registro!$L$7:$L$46,C23,Registro!$M$7:$M$46,"Gasto",Registro!$K$7:$K$46,"&gt;="&amp;B23,Registro!$K$7:$K$46,"&lt;"&amp;(B23+7)))</f>
        <v/>
      </c>
      <c r="K23" s="12">
        <f>IF(D23="","",SUMIFS(Registro!$O$7:$O$46,Registro!$L$7:$L$46,C23,Registro!$M$7:$M$46,"Regalo",Registro!$K$7:$K$46,"&gt;="&amp;B23,Registro!$K$7:$K$46,"&lt;"&amp;(B23+7)))</f>
        <v/>
      </c>
      <c r="L23" s="12">
        <f>IF(D23="","",I23+K23-J23)</f>
        <v/>
      </c>
      <c r="M23" s="30">
        <f>IF(D23="","",IF(L23&lt;0,"Gastó de más",IF(L23=0,"Justo","Le sobra")))</f>
        <v/>
      </c>
    </row>
    <row r="24">
      <c r="B24" s="25" t="n"/>
      <c r="C24" s="26" t="n"/>
      <c r="D24" s="12">
        <f>IF(OR(B24="",C24=""),"",SUMIFS(Registro!$G$7:$G$66,Registro!$C$7:$C$66,C24,Registro!$H$7:$H$66,B24))</f>
        <v/>
      </c>
      <c r="E24" s="12">
        <f>IF(D24="","",IFERROR(VLOOKUP(C24,Ajustes!$B$7:$G$10,2,FALSE),0))</f>
        <v/>
      </c>
      <c r="F24" s="28">
        <f>IF(D24="","",D24+E24)</f>
        <v/>
      </c>
      <c r="G24" s="29">
        <f>IF(D24="","",IFERROR(VLOOKUP(C24,Ajustes!$B$7:$G$10,3,FALSE),0))</f>
        <v/>
      </c>
      <c r="H24" s="12">
        <f>IF(D24="","",ROUND(F24*G24,2))</f>
        <v/>
      </c>
      <c r="I24" s="12">
        <f>IF(D24="","",F24-H24)</f>
        <v/>
      </c>
      <c r="J24" s="12">
        <f>IF(D24="","",SUMIFS(Registro!$O$7:$O$46,Registro!$L$7:$L$46,C24,Registro!$M$7:$M$46,"Gasto",Registro!$K$7:$K$46,"&gt;="&amp;B24,Registro!$K$7:$K$46,"&lt;"&amp;(B24+7)))</f>
        <v/>
      </c>
      <c r="K24" s="12">
        <f>IF(D24="","",SUMIFS(Registro!$O$7:$O$46,Registro!$L$7:$L$46,C24,Registro!$M$7:$M$46,"Regalo",Registro!$K$7:$K$46,"&gt;="&amp;B24,Registro!$K$7:$K$46,"&lt;"&amp;(B24+7)))</f>
        <v/>
      </c>
      <c r="L24" s="12">
        <f>IF(D24="","",I24+K24-J24)</f>
        <v/>
      </c>
      <c r="M24" s="30">
        <f>IF(D24="","",IF(L24&lt;0,"Gastó de más",IF(L24=0,"Justo","Le sobra")))</f>
        <v/>
      </c>
    </row>
    <row r="25">
      <c r="B25" s="25" t="n"/>
      <c r="C25" s="26" t="n"/>
      <c r="D25" s="12">
        <f>IF(OR(B25="",C25=""),"",SUMIFS(Registro!$G$7:$G$66,Registro!$C$7:$C$66,C25,Registro!$H$7:$H$66,B25))</f>
        <v/>
      </c>
      <c r="E25" s="12">
        <f>IF(D25="","",IFERROR(VLOOKUP(C25,Ajustes!$B$7:$G$10,2,FALSE),0))</f>
        <v/>
      </c>
      <c r="F25" s="28">
        <f>IF(D25="","",D25+E25)</f>
        <v/>
      </c>
      <c r="G25" s="29">
        <f>IF(D25="","",IFERROR(VLOOKUP(C25,Ajustes!$B$7:$G$10,3,FALSE),0))</f>
        <v/>
      </c>
      <c r="H25" s="12">
        <f>IF(D25="","",ROUND(F25*G25,2))</f>
        <v/>
      </c>
      <c r="I25" s="12">
        <f>IF(D25="","",F25-H25)</f>
        <v/>
      </c>
      <c r="J25" s="12">
        <f>IF(D25="","",SUMIFS(Registro!$O$7:$O$46,Registro!$L$7:$L$46,C25,Registro!$M$7:$M$46,"Gasto",Registro!$K$7:$K$46,"&gt;="&amp;B25,Registro!$K$7:$K$46,"&lt;"&amp;(B25+7)))</f>
        <v/>
      </c>
      <c r="K25" s="12">
        <f>IF(D25="","",SUMIFS(Registro!$O$7:$O$46,Registro!$L$7:$L$46,C25,Registro!$M$7:$M$46,"Regalo",Registro!$K$7:$K$46,"&gt;="&amp;B25,Registro!$K$7:$K$46,"&lt;"&amp;(B25+7)))</f>
        <v/>
      </c>
      <c r="L25" s="12">
        <f>IF(D25="","",I25+K25-J25)</f>
        <v/>
      </c>
      <c r="M25" s="30">
        <f>IF(D25="","",IF(L25&lt;0,"Gastó de más",IF(L25=0,"Justo","Le sobra")))</f>
        <v/>
      </c>
    </row>
    <row r="26">
      <c r="B26" s="25" t="n"/>
      <c r="C26" s="26" t="n"/>
      <c r="D26" s="12">
        <f>IF(OR(B26="",C26=""),"",SUMIFS(Registro!$G$7:$G$66,Registro!$C$7:$C$66,C26,Registro!$H$7:$H$66,B26))</f>
        <v/>
      </c>
      <c r="E26" s="12">
        <f>IF(D26="","",IFERROR(VLOOKUP(C26,Ajustes!$B$7:$G$10,2,FALSE),0))</f>
        <v/>
      </c>
      <c r="F26" s="28">
        <f>IF(D26="","",D26+E26)</f>
        <v/>
      </c>
      <c r="G26" s="29">
        <f>IF(D26="","",IFERROR(VLOOKUP(C26,Ajustes!$B$7:$G$10,3,FALSE),0))</f>
        <v/>
      </c>
      <c r="H26" s="12">
        <f>IF(D26="","",ROUND(F26*G26,2))</f>
        <v/>
      </c>
      <c r="I26" s="12">
        <f>IF(D26="","",F26-H26)</f>
        <v/>
      </c>
      <c r="J26" s="12">
        <f>IF(D26="","",SUMIFS(Registro!$O$7:$O$46,Registro!$L$7:$L$46,C26,Registro!$M$7:$M$46,"Gasto",Registro!$K$7:$K$46,"&gt;="&amp;B26,Registro!$K$7:$K$46,"&lt;"&amp;(B26+7)))</f>
        <v/>
      </c>
      <c r="K26" s="12">
        <f>IF(D26="","",SUMIFS(Registro!$O$7:$O$46,Registro!$L$7:$L$46,C26,Registro!$M$7:$M$46,"Regalo",Registro!$K$7:$K$46,"&gt;="&amp;B26,Registro!$K$7:$K$46,"&lt;"&amp;(B26+7)))</f>
        <v/>
      </c>
      <c r="L26" s="12">
        <f>IF(D26="","",I26+K26-J26)</f>
        <v/>
      </c>
      <c r="M26" s="30">
        <f>IF(D26="","",IF(L26&lt;0,"Gastó de más",IF(L26=0,"Justo","Le sobra")))</f>
        <v/>
      </c>
    </row>
    <row r="27">
      <c r="B27" s="25" t="n"/>
      <c r="C27" s="26" t="n"/>
      <c r="D27" s="12">
        <f>IF(OR(B27="",C27=""),"",SUMIFS(Registro!$G$7:$G$66,Registro!$C$7:$C$66,C27,Registro!$H$7:$H$66,B27))</f>
        <v/>
      </c>
      <c r="E27" s="12">
        <f>IF(D27="","",IFERROR(VLOOKUP(C27,Ajustes!$B$7:$G$10,2,FALSE),0))</f>
        <v/>
      </c>
      <c r="F27" s="28">
        <f>IF(D27="","",D27+E27)</f>
        <v/>
      </c>
      <c r="G27" s="29">
        <f>IF(D27="","",IFERROR(VLOOKUP(C27,Ajustes!$B$7:$G$10,3,FALSE),0))</f>
        <v/>
      </c>
      <c r="H27" s="12">
        <f>IF(D27="","",ROUND(F27*G27,2))</f>
        <v/>
      </c>
      <c r="I27" s="12">
        <f>IF(D27="","",F27-H27)</f>
        <v/>
      </c>
      <c r="J27" s="12">
        <f>IF(D27="","",SUMIFS(Registro!$O$7:$O$46,Registro!$L$7:$L$46,C27,Registro!$M$7:$M$46,"Gasto",Registro!$K$7:$K$46,"&gt;="&amp;B27,Registro!$K$7:$K$46,"&lt;"&amp;(B27+7)))</f>
        <v/>
      </c>
      <c r="K27" s="12">
        <f>IF(D27="","",SUMIFS(Registro!$O$7:$O$46,Registro!$L$7:$L$46,C27,Registro!$M$7:$M$46,"Regalo",Registro!$K$7:$K$46,"&gt;="&amp;B27,Registro!$K$7:$K$46,"&lt;"&amp;(B27+7)))</f>
        <v/>
      </c>
      <c r="L27" s="12">
        <f>IF(D27="","",I27+K27-J27)</f>
        <v/>
      </c>
      <c r="M27" s="30">
        <f>IF(D27="","",IF(L27&lt;0,"Gastó de más",IF(L27=0,"Justo","Le sobra")))</f>
        <v/>
      </c>
    </row>
    <row r="28">
      <c r="B28" s="25" t="n"/>
      <c r="C28" s="26" t="n"/>
      <c r="D28" s="12">
        <f>IF(OR(B28="",C28=""),"",SUMIFS(Registro!$G$7:$G$66,Registro!$C$7:$C$66,C28,Registro!$H$7:$H$66,B28))</f>
        <v/>
      </c>
      <c r="E28" s="12">
        <f>IF(D28="","",IFERROR(VLOOKUP(C28,Ajustes!$B$7:$G$10,2,FALSE),0))</f>
        <v/>
      </c>
      <c r="F28" s="28">
        <f>IF(D28="","",D28+E28)</f>
        <v/>
      </c>
      <c r="G28" s="29">
        <f>IF(D28="","",IFERROR(VLOOKUP(C28,Ajustes!$B$7:$G$10,3,FALSE),0))</f>
        <v/>
      </c>
      <c r="H28" s="12">
        <f>IF(D28="","",ROUND(F28*G28,2))</f>
        <v/>
      </c>
      <c r="I28" s="12">
        <f>IF(D28="","",F28-H28)</f>
        <v/>
      </c>
      <c r="J28" s="12">
        <f>IF(D28="","",SUMIFS(Registro!$O$7:$O$46,Registro!$L$7:$L$46,C28,Registro!$M$7:$M$46,"Gasto",Registro!$K$7:$K$46,"&gt;="&amp;B28,Registro!$K$7:$K$46,"&lt;"&amp;(B28+7)))</f>
        <v/>
      </c>
      <c r="K28" s="12">
        <f>IF(D28="","",SUMIFS(Registro!$O$7:$O$46,Registro!$L$7:$L$46,C28,Registro!$M$7:$M$46,"Regalo",Registro!$K$7:$K$46,"&gt;="&amp;B28,Registro!$K$7:$K$46,"&lt;"&amp;(B28+7)))</f>
        <v/>
      </c>
      <c r="L28" s="12">
        <f>IF(D28="","",I28+K28-J28)</f>
        <v/>
      </c>
      <c r="M28" s="30">
        <f>IF(D28="","",IF(L28&lt;0,"Gastó de más",IF(L28=0,"Justo","Le sobra")))</f>
        <v/>
      </c>
    </row>
    <row r="29">
      <c r="B29" s="25" t="n"/>
      <c r="C29" s="26" t="n"/>
      <c r="D29" s="12">
        <f>IF(OR(B29="",C29=""),"",SUMIFS(Registro!$G$7:$G$66,Registro!$C$7:$C$66,C29,Registro!$H$7:$H$66,B29))</f>
        <v/>
      </c>
      <c r="E29" s="12">
        <f>IF(D29="","",IFERROR(VLOOKUP(C29,Ajustes!$B$7:$G$10,2,FALSE),0))</f>
        <v/>
      </c>
      <c r="F29" s="28">
        <f>IF(D29="","",D29+E29)</f>
        <v/>
      </c>
      <c r="G29" s="29">
        <f>IF(D29="","",IFERROR(VLOOKUP(C29,Ajustes!$B$7:$G$10,3,FALSE),0))</f>
        <v/>
      </c>
      <c r="H29" s="12">
        <f>IF(D29="","",ROUND(F29*G29,2))</f>
        <v/>
      </c>
      <c r="I29" s="12">
        <f>IF(D29="","",F29-H29)</f>
        <v/>
      </c>
      <c r="J29" s="12">
        <f>IF(D29="","",SUMIFS(Registro!$O$7:$O$46,Registro!$L$7:$L$46,C29,Registro!$M$7:$M$46,"Gasto",Registro!$K$7:$K$46,"&gt;="&amp;B29,Registro!$K$7:$K$46,"&lt;"&amp;(B29+7)))</f>
        <v/>
      </c>
      <c r="K29" s="12">
        <f>IF(D29="","",SUMIFS(Registro!$O$7:$O$46,Registro!$L$7:$L$46,C29,Registro!$M$7:$M$46,"Regalo",Registro!$K$7:$K$46,"&gt;="&amp;B29,Registro!$K$7:$K$46,"&lt;"&amp;(B29+7)))</f>
        <v/>
      </c>
      <c r="L29" s="12">
        <f>IF(D29="","",I29+K29-J29)</f>
        <v/>
      </c>
      <c r="M29" s="30">
        <f>IF(D29="","",IF(L29&lt;0,"Gastó de más",IF(L29=0,"Justo","Le sobra")))</f>
        <v/>
      </c>
    </row>
    <row r="30">
      <c r="B30" s="25" t="n"/>
      <c r="C30" s="26" t="n"/>
      <c r="D30" s="12">
        <f>IF(OR(B30="",C30=""),"",SUMIFS(Registro!$G$7:$G$66,Registro!$C$7:$C$66,C30,Registro!$H$7:$H$66,B30))</f>
        <v/>
      </c>
      <c r="E30" s="12">
        <f>IF(D30="","",IFERROR(VLOOKUP(C30,Ajustes!$B$7:$G$10,2,FALSE),0))</f>
        <v/>
      </c>
      <c r="F30" s="28">
        <f>IF(D30="","",D30+E30)</f>
        <v/>
      </c>
      <c r="G30" s="29">
        <f>IF(D30="","",IFERROR(VLOOKUP(C30,Ajustes!$B$7:$G$10,3,FALSE),0))</f>
        <v/>
      </c>
      <c r="H30" s="12">
        <f>IF(D30="","",ROUND(F30*G30,2))</f>
        <v/>
      </c>
      <c r="I30" s="12">
        <f>IF(D30="","",F30-H30)</f>
        <v/>
      </c>
      <c r="J30" s="12">
        <f>IF(D30="","",SUMIFS(Registro!$O$7:$O$46,Registro!$L$7:$L$46,C30,Registro!$M$7:$M$46,"Gasto",Registro!$K$7:$K$46,"&gt;="&amp;B30,Registro!$K$7:$K$46,"&lt;"&amp;(B30+7)))</f>
        <v/>
      </c>
      <c r="K30" s="12">
        <f>IF(D30="","",SUMIFS(Registro!$O$7:$O$46,Registro!$L$7:$L$46,C30,Registro!$M$7:$M$46,"Regalo",Registro!$K$7:$K$46,"&gt;="&amp;B30,Registro!$K$7:$K$46,"&lt;"&amp;(B30+7)))</f>
        <v/>
      </c>
      <c r="L30" s="12">
        <f>IF(D30="","",I30+K30-J30)</f>
        <v/>
      </c>
      <c r="M30" s="30">
        <f>IF(D30="","",IF(L30&lt;0,"Gastó de más",IF(L30=0,"Justo","Le sobra")))</f>
        <v/>
      </c>
    </row>
    <row r="31">
      <c r="B31" s="25" t="n"/>
      <c r="C31" s="26" t="n"/>
      <c r="D31" s="12">
        <f>IF(OR(B31="",C31=""),"",SUMIFS(Registro!$G$7:$G$66,Registro!$C$7:$C$66,C31,Registro!$H$7:$H$66,B31))</f>
        <v/>
      </c>
      <c r="E31" s="12">
        <f>IF(D31="","",IFERROR(VLOOKUP(C31,Ajustes!$B$7:$G$10,2,FALSE),0))</f>
        <v/>
      </c>
      <c r="F31" s="28">
        <f>IF(D31="","",D31+E31)</f>
        <v/>
      </c>
      <c r="G31" s="29">
        <f>IF(D31="","",IFERROR(VLOOKUP(C31,Ajustes!$B$7:$G$10,3,FALSE),0))</f>
        <v/>
      </c>
      <c r="H31" s="12">
        <f>IF(D31="","",ROUND(F31*G31,2))</f>
        <v/>
      </c>
      <c r="I31" s="12">
        <f>IF(D31="","",F31-H31)</f>
        <v/>
      </c>
      <c r="J31" s="12">
        <f>IF(D31="","",SUMIFS(Registro!$O$7:$O$46,Registro!$L$7:$L$46,C31,Registro!$M$7:$M$46,"Gasto",Registro!$K$7:$K$46,"&gt;="&amp;B31,Registro!$K$7:$K$46,"&lt;"&amp;(B31+7)))</f>
        <v/>
      </c>
      <c r="K31" s="12">
        <f>IF(D31="","",SUMIFS(Registro!$O$7:$O$46,Registro!$L$7:$L$46,C31,Registro!$M$7:$M$46,"Regalo",Registro!$K$7:$K$46,"&gt;="&amp;B31,Registro!$K$7:$K$46,"&lt;"&amp;(B31+7)))</f>
        <v/>
      </c>
      <c r="L31" s="12">
        <f>IF(D31="","",I31+K31-J31)</f>
        <v/>
      </c>
      <c r="M31" s="30">
        <f>IF(D31="","",IF(L31&lt;0,"Gastó de más",IF(L31=0,"Justo","Le sobra")))</f>
        <v/>
      </c>
    </row>
    <row r="32">
      <c r="B32" s="25" t="n"/>
      <c r="C32" s="26" t="n"/>
      <c r="D32" s="12">
        <f>IF(OR(B32="",C32=""),"",SUMIFS(Registro!$G$7:$G$66,Registro!$C$7:$C$66,C32,Registro!$H$7:$H$66,B32))</f>
        <v/>
      </c>
      <c r="E32" s="12">
        <f>IF(D32="","",IFERROR(VLOOKUP(C32,Ajustes!$B$7:$G$10,2,FALSE),0))</f>
        <v/>
      </c>
      <c r="F32" s="28">
        <f>IF(D32="","",D32+E32)</f>
        <v/>
      </c>
      <c r="G32" s="29">
        <f>IF(D32="","",IFERROR(VLOOKUP(C32,Ajustes!$B$7:$G$10,3,FALSE),0))</f>
        <v/>
      </c>
      <c r="H32" s="12">
        <f>IF(D32="","",ROUND(F32*G32,2))</f>
        <v/>
      </c>
      <c r="I32" s="12">
        <f>IF(D32="","",F32-H32)</f>
        <v/>
      </c>
      <c r="J32" s="12">
        <f>IF(D32="","",SUMIFS(Registro!$O$7:$O$46,Registro!$L$7:$L$46,C32,Registro!$M$7:$M$46,"Gasto",Registro!$K$7:$K$46,"&gt;="&amp;B32,Registro!$K$7:$K$46,"&lt;"&amp;(B32+7)))</f>
        <v/>
      </c>
      <c r="K32" s="12">
        <f>IF(D32="","",SUMIFS(Registro!$O$7:$O$46,Registro!$L$7:$L$46,C32,Registro!$M$7:$M$46,"Regalo",Registro!$K$7:$K$46,"&gt;="&amp;B32,Registro!$K$7:$K$46,"&lt;"&amp;(B32+7)))</f>
        <v/>
      </c>
      <c r="L32" s="12">
        <f>IF(D32="","",I32+K32-J32)</f>
        <v/>
      </c>
      <c r="M32" s="30">
        <f>IF(D32="","",IF(L32&lt;0,"Gastó de más",IF(L32=0,"Justo","Le sobra")))</f>
        <v/>
      </c>
    </row>
    <row r="33">
      <c r="B33" s="25" t="n"/>
      <c r="C33" s="26" t="n"/>
      <c r="D33" s="12">
        <f>IF(OR(B33="",C33=""),"",SUMIFS(Registro!$G$7:$G$66,Registro!$C$7:$C$66,C33,Registro!$H$7:$H$66,B33))</f>
        <v/>
      </c>
      <c r="E33" s="12">
        <f>IF(D33="","",IFERROR(VLOOKUP(C33,Ajustes!$B$7:$G$10,2,FALSE),0))</f>
        <v/>
      </c>
      <c r="F33" s="28">
        <f>IF(D33="","",D33+E33)</f>
        <v/>
      </c>
      <c r="G33" s="29">
        <f>IF(D33="","",IFERROR(VLOOKUP(C33,Ajustes!$B$7:$G$10,3,FALSE),0))</f>
        <v/>
      </c>
      <c r="H33" s="12">
        <f>IF(D33="","",ROUND(F33*G33,2))</f>
        <v/>
      </c>
      <c r="I33" s="12">
        <f>IF(D33="","",F33-H33)</f>
        <v/>
      </c>
      <c r="J33" s="12">
        <f>IF(D33="","",SUMIFS(Registro!$O$7:$O$46,Registro!$L$7:$L$46,C33,Registro!$M$7:$M$46,"Gasto",Registro!$K$7:$K$46,"&gt;="&amp;B33,Registro!$K$7:$K$46,"&lt;"&amp;(B33+7)))</f>
        <v/>
      </c>
      <c r="K33" s="12">
        <f>IF(D33="","",SUMIFS(Registro!$O$7:$O$46,Registro!$L$7:$L$46,C33,Registro!$M$7:$M$46,"Regalo",Registro!$K$7:$K$46,"&gt;="&amp;B33,Registro!$K$7:$K$46,"&lt;"&amp;(B33+7)))</f>
        <v/>
      </c>
      <c r="L33" s="12">
        <f>IF(D33="","",I33+K33-J33)</f>
        <v/>
      </c>
      <c r="M33" s="30">
        <f>IF(D33="","",IF(L33&lt;0,"Gastó de más",IF(L33=0,"Justo","Le sobra")))</f>
        <v/>
      </c>
    </row>
    <row r="34">
      <c r="B34" s="25" t="n"/>
      <c r="C34" s="26" t="n"/>
      <c r="D34" s="12">
        <f>IF(OR(B34="",C34=""),"",SUMIFS(Registro!$G$7:$G$66,Registro!$C$7:$C$66,C34,Registro!$H$7:$H$66,B34))</f>
        <v/>
      </c>
      <c r="E34" s="12">
        <f>IF(D34="","",IFERROR(VLOOKUP(C34,Ajustes!$B$7:$G$10,2,FALSE),0))</f>
        <v/>
      </c>
      <c r="F34" s="28">
        <f>IF(D34="","",D34+E34)</f>
        <v/>
      </c>
      <c r="G34" s="29">
        <f>IF(D34="","",IFERROR(VLOOKUP(C34,Ajustes!$B$7:$G$10,3,FALSE),0))</f>
        <v/>
      </c>
      <c r="H34" s="12">
        <f>IF(D34="","",ROUND(F34*G34,2))</f>
        <v/>
      </c>
      <c r="I34" s="12">
        <f>IF(D34="","",F34-H34)</f>
        <v/>
      </c>
      <c r="J34" s="12">
        <f>IF(D34="","",SUMIFS(Registro!$O$7:$O$46,Registro!$L$7:$L$46,C34,Registro!$M$7:$M$46,"Gasto",Registro!$K$7:$K$46,"&gt;="&amp;B34,Registro!$K$7:$K$46,"&lt;"&amp;(B34+7)))</f>
        <v/>
      </c>
      <c r="K34" s="12">
        <f>IF(D34="","",SUMIFS(Registro!$O$7:$O$46,Registro!$L$7:$L$46,C34,Registro!$M$7:$M$46,"Regalo",Registro!$K$7:$K$46,"&gt;="&amp;B34,Registro!$K$7:$K$46,"&lt;"&amp;(B34+7)))</f>
        <v/>
      </c>
      <c r="L34" s="12">
        <f>IF(D34="","",I34+K34-J34)</f>
        <v/>
      </c>
      <c r="M34" s="30">
        <f>IF(D34="","",IF(L34&lt;0,"Gastó de más",IF(L34=0,"Justo","Le sobra")))</f>
        <v/>
      </c>
    </row>
    <row r="35">
      <c r="B35" s="25" t="n"/>
      <c r="C35" s="26" t="n"/>
      <c r="D35" s="12">
        <f>IF(OR(B35="",C35=""),"",SUMIFS(Registro!$G$7:$G$66,Registro!$C$7:$C$66,C35,Registro!$H$7:$H$66,B35))</f>
        <v/>
      </c>
      <c r="E35" s="12">
        <f>IF(D35="","",IFERROR(VLOOKUP(C35,Ajustes!$B$7:$G$10,2,FALSE),0))</f>
        <v/>
      </c>
      <c r="F35" s="28">
        <f>IF(D35="","",D35+E35)</f>
        <v/>
      </c>
      <c r="G35" s="29">
        <f>IF(D35="","",IFERROR(VLOOKUP(C35,Ajustes!$B$7:$G$10,3,FALSE),0))</f>
        <v/>
      </c>
      <c r="H35" s="12">
        <f>IF(D35="","",ROUND(F35*G35,2))</f>
        <v/>
      </c>
      <c r="I35" s="12">
        <f>IF(D35="","",F35-H35)</f>
        <v/>
      </c>
      <c r="J35" s="12">
        <f>IF(D35="","",SUMIFS(Registro!$O$7:$O$46,Registro!$L$7:$L$46,C35,Registro!$M$7:$M$46,"Gasto",Registro!$K$7:$K$46,"&gt;="&amp;B35,Registro!$K$7:$K$46,"&lt;"&amp;(B35+7)))</f>
        <v/>
      </c>
      <c r="K35" s="12">
        <f>IF(D35="","",SUMIFS(Registro!$O$7:$O$46,Registro!$L$7:$L$46,C35,Registro!$M$7:$M$46,"Regalo",Registro!$K$7:$K$46,"&gt;="&amp;B35,Registro!$K$7:$K$46,"&lt;"&amp;(B35+7)))</f>
        <v/>
      </c>
      <c r="L35" s="12">
        <f>IF(D35="","",I35+K35-J35)</f>
        <v/>
      </c>
      <c r="M35" s="30">
        <f>IF(D35="","",IF(L35&lt;0,"Gastó de más",IF(L35=0,"Justo","Le sobra")))</f>
        <v/>
      </c>
    </row>
    <row r="36">
      <c r="B36" s="25" t="n"/>
      <c r="C36" s="26" t="n"/>
      <c r="D36" s="12">
        <f>IF(OR(B36="",C36=""),"",SUMIFS(Registro!$G$7:$G$66,Registro!$C$7:$C$66,C36,Registro!$H$7:$H$66,B36))</f>
        <v/>
      </c>
      <c r="E36" s="12">
        <f>IF(D36="","",IFERROR(VLOOKUP(C36,Ajustes!$B$7:$G$10,2,FALSE),0))</f>
        <v/>
      </c>
      <c r="F36" s="28">
        <f>IF(D36="","",D36+E36)</f>
        <v/>
      </c>
      <c r="G36" s="29">
        <f>IF(D36="","",IFERROR(VLOOKUP(C36,Ajustes!$B$7:$G$10,3,FALSE),0))</f>
        <v/>
      </c>
      <c r="H36" s="12">
        <f>IF(D36="","",ROUND(F36*G36,2))</f>
        <v/>
      </c>
      <c r="I36" s="12">
        <f>IF(D36="","",F36-H36)</f>
        <v/>
      </c>
      <c r="J36" s="12">
        <f>IF(D36="","",SUMIFS(Registro!$O$7:$O$46,Registro!$L$7:$L$46,C36,Registro!$M$7:$M$46,"Gasto",Registro!$K$7:$K$46,"&gt;="&amp;B36,Registro!$K$7:$K$46,"&lt;"&amp;(B36+7)))</f>
        <v/>
      </c>
      <c r="K36" s="12">
        <f>IF(D36="","",SUMIFS(Registro!$O$7:$O$46,Registro!$L$7:$L$46,C36,Registro!$M$7:$M$46,"Regalo",Registro!$K$7:$K$46,"&gt;="&amp;B36,Registro!$K$7:$K$46,"&lt;"&amp;(B36+7)))</f>
        <v/>
      </c>
      <c r="L36" s="12">
        <f>IF(D36="","",I36+K36-J36)</f>
        <v/>
      </c>
      <c r="M36" s="30">
        <f>IF(D36="","",IF(L36&lt;0,"Gastó de más",IF(L36=0,"Justo","Le sobra")))</f>
        <v/>
      </c>
    </row>
    <row r="37">
      <c r="B37" s="25" t="n"/>
      <c r="C37" s="26" t="n"/>
      <c r="D37" s="12">
        <f>IF(OR(B37="",C37=""),"",SUMIFS(Registro!$G$7:$G$66,Registro!$C$7:$C$66,C37,Registro!$H$7:$H$66,B37))</f>
        <v/>
      </c>
      <c r="E37" s="12">
        <f>IF(D37="","",IFERROR(VLOOKUP(C37,Ajustes!$B$7:$G$10,2,FALSE),0))</f>
        <v/>
      </c>
      <c r="F37" s="28">
        <f>IF(D37="","",D37+E37)</f>
        <v/>
      </c>
      <c r="G37" s="29">
        <f>IF(D37="","",IFERROR(VLOOKUP(C37,Ajustes!$B$7:$G$10,3,FALSE),0))</f>
        <v/>
      </c>
      <c r="H37" s="12">
        <f>IF(D37="","",ROUND(F37*G37,2))</f>
        <v/>
      </c>
      <c r="I37" s="12">
        <f>IF(D37="","",F37-H37)</f>
        <v/>
      </c>
      <c r="J37" s="12">
        <f>IF(D37="","",SUMIFS(Registro!$O$7:$O$46,Registro!$L$7:$L$46,C37,Registro!$M$7:$M$46,"Gasto",Registro!$K$7:$K$46,"&gt;="&amp;B37,Registro!$K$7:$K$46,"&lt;"&amp;(B37+7)))</f>
        <v/>
      </c>
      <c r="K37" s="12">
        <f>IF(D37="","",SUMIFS(Registro!$O$7:$O$46,Registro!$L$7:$L$46,C37,Registro!$M$7:$M$46,"Regalo",Registro!$K$7:$K$46,"&gt;="&amp;B37,Registro!$K$7:$K$46,"&lt;"&amp;(B37+7)))</f>
        <v/>
      </c>
      <c r="L37" s="12">
        <f>IF(D37="","",I37+K37-J37)</f>
        <v/>
      </c>
      <c r="M37" s="30">
        <f>IF(D37="","",IF(L37&lt;0,"Gastó de más",IF(L37=0,"Justo","Le sobra")))</f>
        <v/>
      </c>
    </row>
    <row r="38">
      <c r="B38" s="25" t="n"/>
      <c r="C38" s="26" t="n"/>
      <c r="D38" s="12">
        <f>IF(OR(B38="",C38=""),"",SUMIFS(Registro!$G$7:$G$66,Registro!$C$7:$C$66,C38,Registro!$H$7:$H$66,B38))</f>
        <v/>
      </c>
      <c r="E38" s="12">
        <f>IF(D38="","",IFERROR(VLOOKUP(C38,Ajustes!$B$7:$G$10,2,FALSE),0))</f>
        <v/>
      </c>
      <c r="F38" s="28">
        <f>IF(D38="","",D38+E38)</f>
        <v/>
      </c>
      <c r="G38" s="29">
        <f>IF(D38="","",IFERROR(VLOOKUP(C38,Ajustes!$B$7:$G$10,3,FALSE),0))</f>
        <v/>
      </c>
      <c r="H38" s="12">
        <f>IF(D38="","",ROUND(F38*G38,2))</f>
        <v/>
      </c>
      <c r="I38" s="12">
        <f>IF(D38="","",F38-H38)</f>
        <v/>
      </c>
      <c r="J38" s="12">
        <f>IF(D38="","",SUMIFS(Registro!$O$7:$O$46,Registro!$L$7:$L$46,C38,Registro!$M$7:$M$46,"Gasto",Registro!$K$7:$K$46,"&gt;="&amp;B38,Registro!$K$7:$K$46,"&lt;"&amp;(B38+7)))</f>
        <v/>
      </c>
      <c r="K38" s="12">
        <f>IF(D38="","",SUMIFS(Registro!$O$7:$O$46,Registro!$L$7:$L$46,C38,Registro!$M$7:$M$46,"Regalo",Registro!$K$7:$K$46,"&gt;="&amp;B38,Registro!$K$7:$K$46,"&lt;"&amp;(B38+7)))</f>
        <v/>
      </c>
      <c r="L38" s="12">
        <f>IF(D38="","",I38+K38-J38)</f>
        <v/>
      </c>
      <c r="M38" s="30">
        <f>IF(D38="","",IF(L38&lt;0,"Gastó de más",IF(L38=0,"Justo","Le sobra")))</f>
        <v/>
      </c>
    </row>
    <row r="39">
      <c r="B39" s="25" t="n"/>
      <c r="C39" s="26" t="n"/>
      <c r="D39" s="12">
        <f>IF(OR(B39="",C39=""),"",SUMIFS(Registro!$G$7:$G$66,Registro!$C$7:$C$66,C39,Registro!$H$7:$H$66,B39))</f>
        <v/>
      </c>
      <c r="E39" s="12">
        <f>IF(D39="","",IFERROR(VLOOKUP(C39,Ajustes!$B$7:$G$10,2,FALSE),0))</f>
        <v/>
      </c>
      <c r="F39" s="28">
        <f>IF(D39="","",D39+E39)</f>
        <v/>
      </c>
      <c r="G39" s="29">
        <f>IF(D39="","",IFERROR(VLOOKUP(C39,Ajustes!$B$7:$G$10,3,FALSE),0))</f>
        <v/>
      </c>
      <c r="H39" s="12">
        <f>IF(D39="","",ROUND(F39*G39,2))</f>
        <v/>
      </c>
      <c r="I39" s="12">
        <f>IF(D39="","",F39-H39)</f>
        <v/>
      </c>
      <c r="J39" s="12">
        <f>IF(D39="","",SUMIFS(Registro!$O$7:$O$46,Registro!$L$7:$L$46,C39,Registro!$M$7:$M$46,"Gasto",Registro!$K$7:$K$46,"&gt;="&amp;B39,Registro!$K$7:$K$46,"&lt;"&amp;(B39+7)))</f>
        <v/>
      </c>
      <c r="K39" s="12">
        <f>IF(D39="","",SUMIFS(Registro!$O$7:$O$46,Registro!$L$7:$L$46,C39,Registro!$M$7:$M$46,"Regalo",Registro!$K$7:$K$46,"&gt;="&amp;B39,Registro!$K$7:$K$46,"&lt;"&amp;(B39+7)))</f>
        <v/>
      </c>
      <c r="L39" s="12">
        <f>IF(D39="","",I39+K39-J39)</f>
        <v/>
      </c>
      <c r="M39" s="30">
        <f>IF(D39="","",IF(L39&lt;0,"Gastó de más",IF(L39=0,"Justo","Le sobra")))</f>
        <v/>
      </c>
    </row>
    <row r="40">
      <c r="B40" s="25" t="n"/>
      <c r="C40" s="26" t="n"/>
      <c r="D40" s="12">
        <f>IF(OR(B40="",C40=""),"",SUMIFS(Registro!$G$7:$G$66,Registro!$C$7:$C$66,C40,Registro!$H$7:$H$66,B40))</f>
        <v/>
      </c>
      <c r="E40" s="12">
        <f>IF(D40="","",IFERROR(VLOOKUP(C40,Ajustes!$B$7:$G$10,2,FALSE),0))</f>
        <v/>
      </c>
      <c r="F40" s="28">
        <f>IF(D40="","",D40+E40)</f>
        <v/>
      </c>
      <c r="G40" s="29">
        <f>IF(D40="","",IFERROR(VLOOKUP(C40,Ajustes!$B$7:$G$10,3,FALSE),0))</f>
        <v/>
      </c>
      <c r="H40" s="12">
        <f>IF(D40="","",ROUND(F40*G40,2))</f>
        <v/>
      </c>
      <c r="I40" s="12">
        <f>IF(D40="","",F40-H40)</f>
        <v/>
      </c>
      <c r="J40" s="12">
        <f>IF(D40="","",SUMIFS(Registro!$O$7:$O$46,Registro!$L$7:$L$46,C40,Registro!$M$7:$M$46,"Gasto",Registro!$K$7:$K$46,"&gt;="&amp;B40,Registro!$K$7:$K$46,"&lt;"&amp;(B40+7)))</f>
        <v/>
      </c>
      <c r="K40" s="12">
        <f>IF(D40="","",SUMIFS(Registro!$O$7:$O$46,Registro!$L$7:$L$46,C40,Registro!$M$7:$M$46,"Regalo",Registro!$K$7:$K$46,"&gt;="&amp;B40,Registro!$K$7:$K$46,"&lt;"&amp;(B40+7)))</f>
        <v/>
      </c>
      <c r="L40" s="12">
        <f>IF(D40="","",I40+K40-J40)</f>
        <v/>
      </c>
      <c r="M40" s="30">
        <f>IF(D40="","",IF(L40&lt;0,"Gastó de más",IF(L40=0,"Justo","Le sobra")))</f>
        <v/>
      </c>
    </row>
    <row r="41">
      <c r="B41" s="25" t="n"/>
      <c r="C41" s="26" t="n"/>
      <c r="D41" s="12">
        <f>IF(OR(B41="",C41=""),"",SUMIFS(Registro!$G$7:$G$66,Registro!$C$7:$C$66,C41,Registro!$H$7:$H$66,B41))</f>
        <v/>
      </c>
      <c r="E41" s="12">
        <f>IF(D41="","",IFERROR(VLOOKUP(C41,Ajustes!$B$7:$G$10,2,FALSE),0))</f>
        <v/>
      </c>
      <c r="F41" s="28">
        <f>IF(D41="","",D41+E41)</f>
        <v/>
      </c>
      <c r="G41" s="29">
        <f>IF(D41="","",IFERROR(VLOOKUP(C41,Ajustes!$B$7:$G$10,3,FALSE),0))</f>
        <v/>
      </c>
      <c r="H41" s="12">
        <f>IF(D41="","",ROUND(F41*G41,2))</f>
        <v/>
      </c>
      <c r="I41" s="12">
        <f>IF(D41="","",F41-H41)</f>
        <v/>
      </c>
      <c r="J41" s="12">
        <f>IF(D41="","",SUMIFS(Registro!$O$7:$O$46,Registro!$L$7:$L$46,C41,Registro!$M$7:$M$46,"Gasto",Registro!$K$7:$K$46,"&gt;="&amp;B41,Registro!$K$7:$K$46,"&lt;"&amp;(B41+7)))</f>
        <v/>
      </c>
      <c r="K41" s="12">
        <f>IF(D41="","",SUMIFS(Registro!$O$7:$O$46,Registro!$L$7:$L$46,C41,Registro!$M$7:$M$46,"Regalo",Registro!$K$7:$K$46,"&gt;="&amp;B41,Registro!$K$7:$K$46,"&lt;"&amp;(B41+7)))</f>
        <v/>
      </c>
      <c r="L41" s="12">
        <f>IF(D41="","",I41+K41-J41)</f>
        <v/>
      </c>
      <c r="M41" s="30">
        <f>IF(D41="","",IF(L41&lt;0,"Gastó de más",IF(L41=0,"Justo","Le sobra")))</f>
        <v/>
      </c>
    </row>
    <row r="42">
      <c r="B42" s="25" t="n"/>
      <c r="C42" s="26" t="n"/>
      <c r="D42" s="12">
        <f>IF(OR(B42="",C42=""),"",SUMIFS(Registro!$G$7:$G$66,Registro!$C$7:$C$66,C42,Registro!$H$7:$H$66,B42))</f>
        <v/>
      </c>
      <c r="E42" s="12">
        <f>IF(D42="","",IFERROR(VLOOKUP(C42,Ajustes!$B$7:$G$10,2,FALSE),0))</f>
        <v/>
      </c>
      <c r="F42" s="28">
        <f>IF(D42="","",D42+E42)</f>
        <v/>
      </c>
      <c r="G42" s="29">
        <f>IF(D42="","",IFERROR(VLOOKUP(C42,Ajustes!$B$7:$G$10,3,FALSE),0))</f>
        <v/>
      </c>
      <c r="H42" s="12">
        <f>IF(D42="","",ROUND(F42*G42,2))</f>
        <v/>
      </c>
      <c r="I42" s="12">
        <f>IF(D42="","",F42-H42)</f>
        <v/>
      </c>
      <c r="J42" s="12">
        <f>IF(D42="","",SUMIFS(Registro!$O$7:$O$46,Registro!$L$7:$L$46,C42,Registro!$M$7:$M$46,"Gasto",Registro!$K$7:$K$46,"&gt;="&amp;B42,Registro!$K$7:$K$46,"&lt;"&amp;(B42+7)))</f>
        <v/>
      </c>
      <c r="K42" s="12">
        <f>IF(D42="","",SUMIFS(Registro!$O$7:$O$46,Registro!$L$7:$L$46,C42,Registro!$M$7:$M$46,"Regalo",Registro!$K$7:$K$46,"&gt;="&amp;B42,Registro!$K$7:$K$46,"&lt;"&amp;(B42+7)))</f>
        <v/>
      </c>
      <c r="L42" s="12">
        <f>IF(D42="","",I42+K42-J42)</f>
        <v/>
      </c>
      <c r="M42" s="30">
        <f>IF(D42="","",IF(L42&lt;0,"Gastó de más",IF(L42=0,"Justo","Le sobra")))</f>
        <v/>
      </c>
    </row>
    <row r="43">
      <c r="B43" s="25" t="n"/>
      <c r="C43" s="26" t="n"/>
      <c r="D43" s="12">
        <f>IF(OR(B43="",C43=""),"",SUMIFS(Registro!$G$7:$G$66,Registro!$C$7:$C$66,C43,Registro!$H$7:$H$66,B43))</f>
        <v/>
      </c>
      <c r="E43" s="12">
        <f>IF(D43="","",IFERROR(VLOOKUP(C43,Ajustes!$B$7:$G$10,2,FALSE),0))</f>
        <v/>
      </c>
      <c r="F43" s="28">
        <f>IF(D43="","",D43+E43)</f>
        <v/>
      </c>
      <c r="G43" s="29">
        <f>IF(D43="","",IFERROR(VLOOKUP(C43,Ajustes!$B$7:$G$10,3,FALSE),0))</f>
        <v/>
      </c>
      <c r="H43" s="12">
        <f>IF(D43="","",ROUND(F43*G43,2))</f>
        <v/>
      </c>
      <c r="I43" s="12">
        <f>IF(D43="","",F43-H43)</f>
        <v/>
      </c>
      <c r="J43" s="12">
        <f>IF(D43="","",SUMIFS(Registro!$O$7:$O$46,Registro!$L$7:$L$46,C43,Registro!$M$7:$M$46,"Gasto",Registro!$K$7:$K$46,"&gt;="&amp;B43,Registro!$K$7:$K$46,"&lt;"&amp;(B43+7)))</f>
        <v/>
      </c>
      <c r="K43" s="12">
        <f>IF(D43="","",SUMIFS(Registro!$O$7:$O$46,Registro!$L$7:$L$46,C43,Registro!$M$7:$M$46,"Regalo",Registro!$K$7:$K$46,"&gt;="&amp;B43,Registro!$K$7:$K$46,"&lt;"&amp;(B43+7)))</f>
        <v/>
      </c>
      <c r="L43" s="12">
        <f>IF(D43="","",I43+K43-J43)</f>
        <v/>
      </c>
      <c r="M43" s="30">
        <f>IF(D43="","",IF(L43&lt;0,"Gastó de más",IF(L43=0,"Justo","Le sobra")))</f>
        <v/>
      </c>
    </row>
    <row r="44">
      <c r="B44" s="25" t="n"/>
      <c r="C44" s="26" t="n"/>
      <c r="D44" s="12">
        <f>IF(OR(B44="",C44=""),"",SUMIFS(Registro!$G$7:$G$66,Registro!$C$7:$C$66,C44,Registro!$H$7:$H$66,B44))</f>
        <v/>
      </c>
      <c r="E44" s="12">
        <f>IF(D44="","",IFERROR(VLOOKUP(C44,Ajustes!$B$7:$G$10,2,FALSE),0))</f>
        <v/>
      </c>
      <c r="F44" s="28">
        <f>IF(D44="","",D44+E44)</f>
        <v/>
      </c>
      <c r="G44" s="29">
        <f>IF(D44="","",IFERROR(VLOOKUP(C44,Ajustes!$B$7:$G$10,3,FALSE),0))</f>
        <v/>
      </c>
      <c r="H44" s="12">
        <f>IF(D44="","",ROUND(F44*G44,2))</f>
        <v/>
      </c>
      <c r="I44" s="12">
        <f>IF(D44="","",F44-H44)</f>
        <v/>
      </c>
      <c r="J44" s="12">
        <f>IF(D44="","",SUMIFS(Registro!$O$7:$O$46,Registro!$L$7:$L$46,C44,Registro!$M$7:$M$46,"Gasto",Registro!$K$7:$K$46,"&gt;="&amp;B44,Registro!$K$7:$K$46,"&lt;"&amp;(B44+7)))</f>
        <v/>
      </c>
      <c r="K44" s="12">
        <f>IF(D44="","",SUMIFS(Registro!$O$7:$O$46,Registro!$L$7:$L$46,C44,Registro!$M$7:$M$46,"Regalo",Registro!$K$7:$K$46,"&gt;="&amp;B44,Registro!$K$7:$K$46,"&lt;"&amp;(B44+7)))</f>
        <v/>
      </c>
      <c r="L44" s="12">
        <f>IF(D44="","",I44+K44-J44)</f>
        <v/>
      </c>
      <c r="M44" s="30">
        <f>IF(D44="","",IF(L44&lt;0,"Gastó de más",IF(L44=0,"Justo","Le sobra")))</f>
        <v/>
      </c>
    </row>
    <row r="45">
      <c r="B45" s="25" t="n"/>
      <c r="C45" s="26" t="n"/>
      <c r="D45" s="12">
        <f>IF(OR(B45="",C45=""),"",SUMIFS(Registro!$G$7:$G$66,Registro!$C$7:$C$66,C45,Registro!$H$7:$H$66,B45))</f>
        <v/>
      </c>
      <c r="E45" s="12">
        <f>IF(D45="","",IFERROR(VLOOKUP(C45,Ajustes!$B$7:$G$10,2,FALSE),0))</f>
        <v/>
      </c>
      <c r="F45" s="28">
        <f>IF(D45="","",D45+E45)</f>
        <v/>
      </c>
      <c r="G45" s="29">
        <f>IF(D45="","",IFERROR(VLOOKUP(C45,Ajustes!$B$7:$G$10,3,FALSE),0))</f>
        <v/>
      </c>
      <c r="H45" s="12">
        <f>IF(D45="","",ROUND(F45*G45,2))</f>
        <v/>
      </c>
      <c r="I45" s="12">
        <f>IF(D45="","",F45-H45)</f>
        <v/>
      </c>
      <c r="J45" s="12">
        <f>IF(D45="","",SUMIFS(Registro!$O$7:$O$46,Registro!$L$7:$L$46,C45,Registro!$M$7:$M$46,"Gasto",Registro!$K$7:$K$46,"&gt;="&amp;B45,Registro!$K$7:$K$46,"&lt;"&amp;(B45+7)))</f>
        <v/>
      </c>
      <c r="K45" s="12">
        <f>IF(D45="","",SUMIFS(Registro!$O$7:$O$46,Registro!$L$7:$L$46,C45,Registro!$M$7:$M$46,"Regalo",Registro!$K$7:$K$46,"&gt;="&amp;B45,Registro!$K$7:$K$46,"&lt;"&amp;(B45+7)))</f>
        <v/>
      </c>
      <c r="L45" s="12">
        <f>IF(D45="","",I45+K45-J45)</f>
        <v/>
      </c>
      <c r="M45" s="30">
        <f>IF(D45="","",IF(L45&lt;0,"Gastó de más",IF(L45=0,"Justo","Le sobra")))</f>
        <v/>
      </c>
    </row>
    <row r="46">
      <c r="B46" s="25" t="n"/>
      <c r="C46" s="26" t="n"/>
      <c r="D46" s="12">
        <f>IF(OR(B46="",C46=""),"",SUMIFS(Registro!$G$7:$G$66,Registro!$C$7:$C$66,C46,Registro!$H$7:$H$66,B46))</f>
        <v/>
      </c>
      <c r="E46" s="12">
        <f>IF(D46="","",IFERROR(VLOOKUP(C46,Ajustes!$B$7:$G$10,2,FALSE),0))</f>
        <v/>
      </c>
      <c r="F46" s="28">
        <f>IF(D46="","",D46+E46)</f>
        <v/>
      </c>
      <c r="G46" s="29">
        <f>IF(D46="","",IFERROR(VLOOKUP(C46,Ajustes!$B$7:$G$10,3,FALSE),0))</f>
        <v/>
      </c>
      <c r="H46" s="12">
        <f>IF(D46="","",ROUND(F46*G46,2))</f>
        <v/>
      </c>
      <c r="I46" s="12">
        <f>IF(D46="","",F46-H46)</f>
        <v/>
      </c>
      <c r="J46" s="12">
        <f>IF(D46="","",SUMIFS(Registro!$O$7:$O$46,Registro!$L$7:$L$46,C46,Registro!$M$7:$M$46,"Gasto",Registro!$K$7:$K$46,"&gt;="&amp;B46,Registro!$K$7:$K$46,"&lt;"&amp;(B46+7)))</f>
        <v/>
      </c>
      <c r="K46" s="12">
        <f>IF(D46="","",SUMIFS(Registro!$O$7:$O$46,Registro!$L$7:$L$46,C46,Registro!$M$7:$M$46,"Regalo",Registro!$K$7:$K$46,"&gt;="&amp;B46,Registro!$K$7:$K$46,"&lt;"&amp;(B46+7)))</f>
        <v/>
      </c>
      <c r="L46" s="12">
        <f>IF(D46="","",I46+K46-J46)</f>
        <v/>
      </c>
      <c r="M46" s="30">
        <f>IF(D46="","",IF(L46&lt;0,"Gastó de más",IF(L46=0,"Justo","Le sobra")))</f>
        <v/>
      </c>
    </row>
    <row r="47">
      <c r="B47" s="25" t="n"/>
      <c r="C47" s="26" t="n"/>
      <c r="D47" s="12">
        <f>IF(OR(B47="",C47=""),"",SUMIFS(Registro!$G$7:$G$66,Registro!$C$7:$C$66,C47,Registro!$H$7:$H$66,B47))</f>
        <v/>
      </c>
      <c r="E47" s="12">
        <f>IF(D47="","",IFERROR(VLOOKUP(C47,Ajustes!$B$7:$G$10,2,FALSE),0))</f>
        <v/>
      </c>
      <c r="F47" s="28">
        <f>IF(D47="","",D47+E47)</f>
        <v/>
      </c>
      <c r="G47" s="29">
        <f>IF(D47="","",IFERROR(VLOOKUP(C47,Ajustes!$B$7:$G$10,3,FALSE),0))</f>
        <v/>
      </c>
      <c r="H47" s="12">
        <f>IF(D47="","",ROUND(F47*G47,2))</f>
        <v/>
      </c>
      <c r="I47" s="12">
        <f>IF(D47="","",F47-H47)</f>
        <v/>
      </c>
      <c r="J47" s="12">
        <f>IF(D47="","",SUMIFS(Registro!$O$7:$O$46,Registro!$L$7:$L$46,C47,Registro!$M$7:$M$46,"Gasto",Registro!$K$7:$K$46,"&gt;="&amp;B47,Registro!$K$7:$K$46,"&lt;"&amp;(B47+7)))</f>
        <v/>
      </c>
      <c r="K47" s="12">
        <f>IF(D47="","",SUMIFS(Registro!$O$7:$O$46,Registro!$L$7:$L$46,C47,Registro!$M$7:$M$46,"Regalo",Registro!$K$7:$K$46,"&gt;="&amp;B47,Registro!$K$7:$K$46,"&lt;"&amp;(B47+7)))</f>
        <v/>
      </c>
      <c r="L47" s="12">
        <f>IF(D47="","",I47+K47-J47)</f>
        <v/>
      </c>
      <c r="M47" s="30">
        <f>IF(D47="","",IF(L47&lt;0,"Gastó de más",IF(L47=0,"Justo","Le sobra")))</f>
        <v/>
      </c>
    </row>
    <row r="48">
      <c r="B48" s="25" t="n"/>
      <c r="C48" s="26" t="n"/>
      <c r="D48" s="12">
        <f>IF(OR(B48="",C48=""),"",SUMIFS(Registro!$G$7:$G$66,Registro!$C$7:$C$66,C48,Registro!$H$7:$H$66,B48))</f>
        <v/>
      </c>
      <c r="E48" s="12">
        <f>IF(D48="","",IFERROR(VLOOKUP(C48,Ajustes!$B$7:$G$10,2,FALSE),0))</f>
        <v/>
      </c>
      <c r="F48" s="28">
        <f>IF(D48="","",D48+E48)</f>
        <v/>
      </c>
      <c r="G48" s="29">
        <f>IF(D48="","",IFERROR(VLOOKUP(C48,Ajustes!$B$7:$G$10,3,FALSE),0))</f>
        <v/>
      </c>
      <c r="H48" s="12">
        <f>IF(D48="","",ROUND(F48*G48,2))</f>
        <v/>
      </c>
      <c r="I48" s="12">
        <f>IF(D48="","",F48-H48)</f>
        <v/>
      </c>
      <c r="J48" s="12">
        <f>IF(D48="","",SUMIFS(Registro!$O$7:$O$46,Registro!$L$7:$L$46,C48,Registro!$M$7:$M$46,"Gasto",Registro!$K$7:$K$46,"&gt;="&amp;B48,Registro!$K$7:$K$46,"&lt;"&amp;(B48+7)))</f>
        <v/>
      </c>
      <c r="K48" s="12">
        <f>IF(D48="","",SUMIFS(Registro!$O$7:$O$46,Registro!$L$7:$L$46,C48,Registro!$M$7:$M$46,"Regalo",Registro!$K$7:$K$46,"&gt;="&amp;B48,Registro!$K$7:$K$46,"&lt;"&amp;(B48+7)))</f>
        <v/>
      </c>
      <c r="L48" s="12">
        <f>IF(D48="","",I48+K48-J48)</f>
        <v/>
      </c>
      <c r="M48" s="30">
        <f>IF(D48="","",IF(L48&lt;0,"Gastó de más",IF(L48=0,"Justo","Le sobra")))</f>
        <v/>
      </c>
    </row>
    <row r="49">
      <c r="B49" s="25" t="n"/>
      <c r="C49" s="26" t="n"/>
      <c r="D49" s="12">
        <f>IF(OR(B49="",C49=""),"",SUMIFS(Registro!$G$7:$G$66,Registro!$C$7:$C$66,C49,Registro!$H$7:$H$66,B49))</f>
        <v/>
      </c>
      <c r="E49" s="12">
        <f>IF(D49="","",IFERROR(VLOOKUP(C49,Ajustes!$B$7:$G$10,2,FALSE),0))</f>
        <v/>
      </c>
      <c r="F49" s="28">
        <f>IF(D49="","",D49+E49)</f>
        <v/>
      </c>
      <c r="G49" s="29">
        <f>IF(D49="","",IFERROR(VLOOKUP(C49,Ajustes!$B$7:$G$10,3,FALSE),0))</f>
        <v/>
      </c>
      <c r="H49" s="12">
        <f>IF(D49="","",ROUND(F49*G49,2))</f>
        <v/>
      </c>
      <c r="I49" s="12">
        <f>IF(D49="","",F49-H49)</f>
        <v/>
      </c>
      <c r="J49" s="12">
        <f>IF(D49="","",SUMIFS(Registro!$O$7:$O$46,Registro!$L$7:$L$46,C49,Registro!$M$7:$M$46,"Gasto",Registro!$K$7:$K$46,"&gt;="&amp;B49,Registro!$K$7:$K$46,"&lt;"&amp;(B49+7)))</f>
        <v/>
      </c>
      <c r="K49" s="12">
        <f>IF(D49="","",SUMIFS(Registro!$O$7:$O$46,Registro!$L$7:$L$46,C49,Registro!$M$7:$M$46,"Regalo",Registro!$K$7:$K$46,"&gt;="&amp;B49,Registro!$K$7:$K$46,"&lt;"&amp;(B49+7)))</f>
        <v/>
      </c>
      <c r="L49" s="12">
        <f>IF(D49="","",I49+K49-J49)</f>
        <v/>
      </c>
      <c r="M49" s="30">
        <f>IF(D49="","",IF(L49&lt;0,"Gastó de más",IF(L49=0,"Justo","Le sobra")))</f>
        <v/>
      </c>
    </row>
    <row r="50">
      <c r="B50" s="25" t="n"/>
      <c r="C50" s="26" t="n"/>
      <c r="D50" s="12">
        <f>IF(OR(B50="",C50=""),"",SUMIFS(Registro!$G$7:$G$66,Registro!$C$7:$C$66,C50,Registro!$H$7:$H$66,B50))</f>
        <v/>
      </c>
      <c r="E50" s="12">
        <f>IF(D50="","",IFERROR(VLOOKUP(C50,Ajustes!$B$7:$G$10,2,FALSE),0))</f>
        <v/>
      </c>
      <c r="F50" s="28">
        <f>IF(D50="","",D50+E50)</f>
        <v/>
      </c>
      <c r="G50" s="29">
        <f>IF(D50="","",IFERROR(VLOOKUP(C50,Ajustes!$B$7:$G$10,3,FALSE),0))</f>
        <v/>
      </c>
      <c r="H50" s="12">
        <f>IF(D50="","",ROUND(F50*G50,2))</f>
        <v/>
      </c>
      <c r="I50" s="12">
        <f>IF(D50="","",F50-H50)</f>
        <v/>
      </c>
      <c r="J50" s="12">
        <f>IF(D50="","",SUMIFS(Registro!$O$7:$O$46,Registro!$L$7:$L$46,C50,Registro!$M$7:$M$46,"Gasto",Registro!$K$7:$K$46,"&gt;="&amp;B50,Registro!$K$7:$K$46,"&lt;"&amp;(B50+7)))</f>
        <v/>
      </c>
      <c r="K50" s="12">
        <f>IF(D50="","",SUMIFS(Registro!$O$7:$O$46,Registro!$L$7:$L$46,C50,Registro!$M$7:$M$46,"Regalo",Registro!$K$7:$K$46,"&gt;="&amp;B50,Registro!$K$7:$K$46,"&lt;"&amp;(B50+7)))</f>
        <v/>
      </c>
      <c r="L50" s="12">
        <f>IF(D50="","",I50+K50-J50)</f>
        <v/>
      </c>
      <c r="M50" s="30">
        <f>IF(D50="","",IF(L50&lt;0,"Gastó de más",IF(L50=0,"Justo","Le sobra")))</f>
        <v/>
      </c>
    </row>
    <row r="51">
      <c r="B51" s="25" t="n"/>
      <c r="C51" s="26" t="n"/>
      <c r="D51" s="12">
        <f>IF(OR(B51="",C51=""),"",SUMIFS(Registro!$G$7:$G$66,Registro!$C$7:$C$66,C51,Registro!$H$7:$H$66,B51))</f>
        <v/>
      </c>
      <c r="E51" s="12">
        <f>IF(D51="","",IFERROR(VLOOKUP(C51,Ajustes!$B$7:$G$10,2,FALSE),0))</f>
        <v/>
      </c>
      <c r="F51" s="28">
        <f>IF(D51="","",D51+E51)</f>
        <v/>
      </c>
      <c r="G51" s="29">
        <f>IF(D51="","",IFERROR(VLOOKUP(C51,Ajustes!$B$7:$G$10,3,FALSE),0))</f>
        <v/>
      </c>
      <c r="H51" s="12">
        <f>IF(D51="","",ROUND(F51*G51,2))</f>
        <v/>
      </c>
      <c r="I51" s="12">
        <f>IF(D51="","",F51-H51)</f>
        <v/>
      </c>
      <c r="J51" s="12">
        <f>IF(D51="","",SUMIFS(Registro!$O$7:$O$46,Registro!$L$7:$L$46,C51,Registro!$M$7:$M$46,"Gasto",Registro!$K$7:$K$46,"&gt;="&amp;B51,Registro!$K$7:$K$46,"&lt;"&amp;(B51+7)))</f>
        <v/>
      </c>
      <c r="K51" s="12">
        <f>IF(D51="","",SUMIFS(Registro!$O$7:$O$46,Registro!$L$7:$L$46,C51,Registro!$M$7:$M$46,"Regalo",Registro!$K$7:$K$46,"&gt;="&amp;B51,Registro!$K$7:$K$46,"&lt;"&amp;(B51+7)))</f>
        <v/>
      </c>
      <c r="L51" s="12">
        <f>IF(D51="","",I51+K51-J51)</f>
        <v/>
      </c>
      <c r="M51" s="30">
        <f>IF(D51="","",IF(L51&lt;0,"Gastó de más",IF(L51=0,"Justo","Le sobra")))</f>
        <v/>
      </c>
    </row>
    <row r="52">
      <c r="B52" s="25" t="n"/>
      <c r="C52" s="26" t="n"/>
      <c r="D52" s="12">
        <f>IF(OR(B52="",C52=""),"",SUMIFS(Registro!$G$7:$G$66,Registro!$C$7:$C$66,C52,Registro!$H$7:$H$66,B52))</f>
        <v/>
      </c>
      <c r="E52" s="12">
        <f>IF(D52="","",IFERROR(VLOOKUP(C52,Ajustes!$B$7:$G$10,2,FALSE),0))</f>
        <v/>
      </c>
      <c r="F52" s="28">
        <f>IF(D52="","",D52+E52)</f>
        <v/>
      </c>
      <c r="G52" s="29">
        <f>IF(D52="","",IFERROR(VLOOKUP(C52,Ajustes!$B$7:$G$10,3,FALSE),0))</f>
        <v/>
      </c>
      <c r="H52" s="12">
        <f>IF(D52="","",ROUND(F52*G52,2))</f>
        <v/>
      </c>
      <c r="I52" s="12">
        <f>IF(D52="","",F52-H52)</f>
        <v/>
      </c>
      <c r="J52" s="12">
        <f>IF(D52="","",SUMIFS(Registro!$O$7:$O$46,Registro!$L$7:$L$46,C52,Registro!$M$7:$M$46,"Gasto",Registro!$K$7:$K$46,"&gt;="&amp;B52,Registro!$K$7:$K$46,"&lt;"&amp;(B52+7)))</f>
        <v/>
      </c>
      <c r="K52" s="12">
        <f>IF(D52="","",SUMIFS(Registro!$O$7:$O$46,Registro!$L$7:$L$46,C52,Registro!$M$7:$M$46,"Regalo",Registro!$K$7:$K$46,"&gt;="&amp;B52,Registro!$K$7:$K$46,"&lt;"&amp;(B52+7)))</f>
        <v/>
      </c>
      <c r="L52" s="12">
        <f>IF(D52="","",I52+K52-J52)</f>
        <v/>
      </c>
      <c r="M52" s="30">
        <f>IF(D52="","",IF(L52&lt;0,"Gastó de más",IF(L52=0,"Justo","Le sobra")))</f>
        <v/>
      </c>
    </row>
    <row r="53">
      <c r="B53" s="25" t="n"/>
      <c r="C53" s="26" t="n"/>
      <c r="D53" s="12">
        <f>IF(OR(B53="",C53=""),"",SUMIFS(Registro!$G$7:$G$66,Registro!$C$7:$C$66,C53,Registro!$H$7:$H$66,B53))</f>
        <v/>
      </c>
      <c r="E53" s="12">
        <f>IF(D53="","",IFERROR(VLOOKUP(C53,Ajustes!$B$7:$G$10,2,FALSE),0))</f>
        <v/>
      </c>
      <c r="F53" s="28">
        <f>IF(D53="","",D53+E53)</f>
        <v/>
      </c>
      <c r="G53" s="29">
        <f>IF(D53="","",IFERROR(VLOOKUP(C53,Ajustes!$B$7:$G$10,3,FALSE),0))</f>
        <v/>
      </c>
      <c r="H53" s="12">
        <f>IF(D53="","",ROUND(F53*G53,2))</f>
        <v/>
      </c>
      <c r="I53" s="12">
        <f>IF(D53="","",F53-H53)</f>
        <v/>
      </c>
      <c r="J53" s="12">
        <f>IF(D53="","",SUMIFS(Registro!$O$7:$O$46,Registro!$L$7:$L$46,C53,Registro!$M$7:$M$46,"Gasto",Registro!$K$7:$K$46,"&gt;="&amp;B53,Registro!$K$7:$K$46,"&lt;"&amp;(B53+7)))</f>
        <v/>
      </c>
      <c r="K53" s="12">
        <f>IF(D53="","",SUMIFS(Registro!$O$7:$O$46,Registro!$L$7:$L$46,C53,Registro!$M$7:$M$46,"Regalo",Registro!$K$7:$K$46,"&gt;="&amp;B53,Registro!$K$7:$K$46,"&lt;"&amp;(B53+7)))</f>
        <v/>
      </c>
      <c r="L53" s="12">
        <f>IF(D53="","",I53+K53-J53)</f>
        <v/>
      </c>
      <c r="M53" s="30">
        <f>IF(D53="","",IF(L53&lt;0,"Gastó de más",IF(L53=0,"Justo","Le sobra")))</f>
        <v/>
      </c>
    </row>
    <row r="54">
      <c r="B54" s="25" t="n"/>
      <c r="C54" s="26" t="n"/>
      <c r="D54" s="12">
        <f>IF(OR(B54="",C54=""),"",SUMIFS(Registro!$G$7:$G$66,Registro!$C$7:$C$66,C54,Registro!$H$7:$H$66,B54))</f>
        <v/>
      </c>
      <c r="E54" s="12">
        <f>IF(D54="","",IFERROR(VLOOKUP(C54,Ajustes!$B$7:$G$10,2,FALSE),0))</f>
        <v/>
      </c>
      <c r="F54" s="28">
        <f>IF(D54="","",D54+E54)</f>
        <v/>
      </c>
      <c r="G54" s="29">
        <f>IF(D54="","",IFERROR(VLOOKUP(C54,Ajustes!$B$7:$G$10,3,FALSE),0))</f>
        <v/>
      </c>
      <c r="H54" s="12">
        <f>IF(D54="","",ROUND(F54*G54,2))</f>
        <v/>
      </c>
      <c r="I54" s="12">
        <f>IF(D54="","",F54-H54)</f>
        <v/>
      </c>
      <c r="J54" s="12">
        <f>IF(D54="","",SUMIFS(Registro!$O$7:$O$46,Registro!$L$7:$L$46,C54,Registro!$M$7:$M$46,"Gasto",Registro!$K$7:$K$46,"&gt;="&amp;B54,Registro!$K$7:$K$46,"&lt;"&amp;(B54+7)))</f>
        <v/>
      </c>
      <c r="K54" s="12">
        <f>IF(D54="","",SUMIFS(Registro!$O$7:$O$46,Registro!$L$7:$L$46,C54,Registro!$M$7:$M$46,"Regalo",Registro!$K$7:$K$46,"&gt;="&amp;B54,Registro!$K$7:$K$46,"&lt;"&amp;(B54+7)))</f>
        <v/>
      </c>
      <c r="L54" s="12">
        <f>IF(D54="","",I54+K54-J54)</f>
        <v/>
      </c>
      <c r="M54" s="30">
        <f>IF(D54="","",IF(L54&lt;0,"Gastó de más",IF(L54=0,"Justo","Le sobra")))</f>
        <v/>
      </c>
    </row>
    <row r="55">
      <c r="B55" s="25" t="n"/>
      <c r="C55" s="26" t="n"/>
      <c r="D55" s="12">
        <f>IF(OR(B55="",C55=""),"",SUMIFS(Registro!$G$7:$G$66,Registro!$C$7:$C$66,C55,Registro!$H$7:$H$66,B55))</f>
        <v/>
      </c>
      <c r="E55" s="12">
        <f>IF(D55="","",IFERROR(VLOOKUP(C55,Ajustes!$B$7:$G$10,2,FALSE),0))</f>
        <v/>
      </c>
      <c r="F55" s="28">
        <f>IF(D55="","",D55+E55)</f>
        <v/>
      </c>
      <c r="G55" s="29">
        <f>IF(D55="","",IFERROR(VLOOKUP(C55,Ajustes!$B$7:$G$10,3,FALSE),0))</f>
        <v/>
      </c>
      <c r="H55" s="12">
        <f>IF(D55="","",ROUND(F55*G55,2))</f>
        <v/>
      </c>
      <c r="I55" s="12">
        <f>IF(D55="","",F55-H55)</f>
        <v/>
      </c>
      <c r="J55" s="12">
        <f>IF(D55="","",SUMIFS(Registro!$O$7:$O$46,Registro!$L$7:$L$46,C55,Registro!$M$7:$M$46,"Gasto",Registro!$K$7:$K$46,"&gt;="&amp;B55,Registro!$K$7:$K$46,"&lt;"&amp;(B55+7)))</f>
        <v/>
      </c>
      <c r="K55" s="12">
        <f>IF(D55="","",SUMIFS(Registro!$O$7:$O$46,Registro!$L$7:$L$46,C55,Registro!$M$7:$M$46,"Regalo",Registro!$K$7:$K$46,"&gt;="&amp;B55,Registro!$K$7:$K$46,"&lt;"&amp;(B55+7)))</f>
        <v/>
      </c>
      <c r="L55" s="12">
        <f>IF(D55="","",I55+K55-J55)</f>
        <v/>
      </c>
      <c r="M55" s="30">
        <f>IF(D55="","",IF(L55&lt;0,"Gastó de más",IF(L55=0,"Justo","Le sobra")))</f>
        <v/>
      </c>
    </row>
    <row r="56">
      <c r="B56" s="25" t="n"/>
      <c r="C56" s="26" t="n"/>
      <c r="D56" s="12">
        <f>IF(OR(B56="",C56=""),"",SUMIFS(Registro!$G$7:$G$66,Registro!$C$7:$C$66,C56,Registro!$H$7:$H$66,B56))</f>
        <v/>
      </c>
      <c r="E56" s="12">
        <f>IF(D56="","",IFERROR(VLOOKUP(C56,Ajustes!$B$7:$G$10,2,FALSE),0))</f>
        <v/>
      </c>
      <c r="F56" s="28">
        <f>IF(D56="","",D56+E56)</f>
        <v/>
      </c>
      <c r="G56" s="29">
        <f>IF(D56="","",IFERROR(VLOOKUP(C56,Ajustes!$B$7:$G$10,3,FALSE),0))</f>
        <v/>
      </c>
      <c r="H56" s="12">
        <f>IF(D56="","",ROUND(F56*G56,2))</f>
        <v/>
      </c>
      <c r="I56" s="12">
        <f>IF(D56="","",F56-H56)</f>
        <v/>
      </c>
      <c r="J56" s="12">
        <f>IF(D56="","",SUMIFS(Registro!$O$7:$O$46,Registro!$L$7:$L$46,C56,Registro!$M$7:$M$46,"Gasto",Registro!$K$7:$K$46,"&gt;="&amp;B56,Registro!$K$7:$K$46,"&lt;"&amp;(B56+7)))</f>
        <v/>
      </c>
      <c r="K56" s="12">
        <f>IF(D56="","",SUMIFS(Registro!$O$7:$O$46,Registro!$L$7:$L$46,C56,Registro!$M$7:$M$46,"Regalo",Registro!$K$7:$K$46,"&gt;="&amp;B56,Registro!$K$7:$K$46,"&lt;"&amp;(B56+7)))</f>
        <v/>
      </c>
      <c r="L56" s="12">
        <f>IF(D56="","",I56+K56-J56)</f>
        <v/>
      </c>
      <c r="M56" s="30">
        <f>IF(D56="","",IF(L56&lt;0,"Gastó de más",IF(L56=0,"Justo","Le sobra")))</f>
        <v/>
      </c>
    </row>
    <row r="57">
      <c r="B57" s="25" t="n"/>
      <c r="C57" s="26" t="n"/>
      <c r="D57" s="12">
        <f>IF(OR(B57="",C57=""),"",SUMIFS(Registro!$G$7:$G$66,Registro!$C$7:$C$66,C57,Registro!$H$7:$H$66,B57))</f>
        <v/>
      </c>
      <c r="E57" s="12">
        <f>IF(D57="","",IFERROR(VLOOKUP(C57,Ajustes!$B$7:$G$10,2,FALSE),0))</f>
        <v/>
      </c>
      <c r="F57" s="28">
        <f>IF(D57="","",D57+E57)</f>
        <v/>
      </c>
      <c r="G57" s="29">
        <f>IF(D57="","",IFERROR(VLOOKUP(C57,Ajustes!$B$7:$G$10,3,FALSE),0))</f>
        <v/>
      </c>
      <c r="H57" s="12">
        <f>IF(D57="","",ROUND(F57*G57,2))</f>
        <v/>
      </c>
      <c r="I57" s="12">
        <f>IF(D57="","",F57-H57)</f>
        <v/>
      </c>
      <c r="J57" s="12">
        <f>IF(D57="","",SUMIFS(Registro!$O$7:$O$46,Registro!$L$7:$L$46,C57,Registro!$M$7:$M$46,"Gasto",Registro!$K$7:$K$46,"&gt;="&amp;B57,Registro!$K$7:$K$46,"&lt;"&amp;(B57+7)))</f>
        <v/>
      </c>
      <c r="K57" s="12">
        <f>IF(D57="","",SUMIFS(Registro!$O$7:$O$46,Registro!$L$7:$L$46,C57,Registro!$M$7:$M$46,"Regalo",Registro!$K$7:$K$46,"&gt;="&amp;B57,Registro!$K$7:$K$46,"&lt;"&amp;(B57+7)))</f>
        <v/>
      </c>
      <c r="L57" s="12">
        <f>IF(D57="","",I57+K57-J57)</f>
        <v/>
      </c>
      <c r="M57" s="30">
        <f>IF(D57="","",IF(L57&lt;0,"Gastó de más",IF(L57=0,"Justo","Le sobra")))</f>
        <v/>
      </c>
    </row>
    <row r="58">
      <c r="B58" s="25" t="n"/>
      <c r="C58" s="26" t="n"/>
      <c r="D58" s="12">
        <f>IF(OR(B58="",C58=""),"",SUMIFS(Registro!$G$7:$G$66,Registro!$C$7:$C$66,C58,Registro!$H$7:$H$66,B58))</f>
        <v/>
      </c>
      <c r="E58" s="12">
        <f>IF(D58="","",IFERROR(VLOOKUP(C58,Ajustes!$B$7:$G$10,2,FALSE),0))</f>
        <v/>
      </c>
      <c r="F58" s="28">
        <f>IF(D58="","",D58+E58)</f>
        <v/>
      </c>
      <c r="G58" s="29">
        <f>IF(D58="","",IFERROR(VLOOKUP(C58,Ajustes!$B$7:$G$10,3,FALSE),0))</f>
        <v/>
      </c>
      <c r="H58" s="12">
        <f>IF(D58="","",ROUND(F58*G58,2))</f>
        <v/>
      </c>
      <c r="I58" s="12">
        <f>IF(D58="","",F58-H58)</f>
        <v/>
      </c>
      <c r="J58" s="12">
        <f>IF(D58="","",SUMIFS(Registro!$O$7:$O$46,Registro!$L$7:$L$46,C58,Registro!$M$7:$M$46,"Gasto",Registro!$K$7:$K$46,"&gt;="&amp;B58,Registro!$K$7:$K$46,"&lt;"&amp;(B58+7)))</f>
        <v/>
      </c>
      <c r="K58" s="12">
        <f>IF(D58="","",SUMIFS(Registro!$O$7:$O$46,Registro!$L$7:$L$46,C58,Registro!$M$7:$M$46,"Regalo",Registro!$K$7:$K$46,"&gt;="&amp;B58,Registro!$K$7:$K$46,"&lt;"&amp;(B58+7)))</f>
        <v/>
      </c>
      <c r="L58" s="12">
        <f>IF(D58="","",I58+K58-J58)</f>
        <v/>
      </c>
      <c r="M58" s="30">
        <f>IF(D58="","",IF(L58&lt;0,"Gastó de más",IF(L58=0,"Justo","Le sobra")))</f>
        <v/>
      </c>
    </row>
    <row r="59">
      <c r="B59" s="25" t="n"/>
      <c r="C59" s="26" t="n"/>
      <c r="D59" s="12">
        <f>IF(OR(B59="",C59=""),"",SUMIFS(Registro!$G$7:$G$66,Registro!$C$7:$C$66,C59,Registro!$H$7:$H$66,B59))</f>
        <v/>
      </c>
      <c r="E59" s="12">
        <f>IF(D59="","",IFERROR(VLOOKUP(C59,Ajustes!$B$7:$G$10,2,FALSE),0))</f>
        <v/>
      </c>
      <c r="F59" s="28">
        <f>IF(D59="","",D59+E59)</f>
        <v/>
      </c>
      <c r="G59" s="29">
        <f>IF(D59="","",IFERROR(VLOOKUP(C59,Ajustes!$B$7:$G$10,3,FALSE),0))</f>
        <v/>
      </c>
      <c r="H59" s="12">
        <f>IF(D59="","",ROUND(F59*G59,2))</f>
        <v/>
      </c>
      <c r="I59" s="12">
        <f>IF(D59="","",F59-H59)</f>
        <v/>
      </c>
      <c r="J59" s="12">
        <f>IF(D59="","",SUMIFS(Registro!$O$7:$O$46,Registro!$L$7:$L$46,C59,Registro!$M$7:$M$46,"Gasto",Registro!$K$7:$K$46,"&gt;="&amp;B59,Registro!$K$7:$K$46,"&lt;"&amp;(B59+7)))</f>
        <v/>
      </c>
      <c r="K59" s="12">
        <f>IF(D59="","",SUMIFS(Registro!$O$7:$O$46,Registro!$L$7:$L$46,C59,Registro!$M$7:$M$46,"Regalo",Registro!$K$7:$K$46,"&gt;="&amp;B59,Registro!$K$7:$K$46,"&lt;"&amp;(B59+7)))</f>
        <v/>
      </c>
      <c r="L59" s="12">
        <f>IF(D59="","",I59+K59-J59)</f>
        <v/>
      </c>
      <c r="M59" s="30">
        <f>IF(D59="","",IF(L59&lt;0,"Gastó de más",IF(L59=0,"Justo","Le sobra")))</f>
        <v/>
      </c>
    </row>
    <row r="60">
      <c r="B60" s="25" t="n"/>
      <c r="C60" s="26" t="n"/>
      <c r="D60" s="12">
        <f>IF(OR(B60="",C60=""),"",SUMIFS(Registro!$G$7:$G$66,Registro!$C$7:$C$66,C60,Registro!$H$7:$H$66,B60))</f>
        <v/>
      </c>
      <c r="E60" s="12">
        <f>IF(D60="","",IFERROR(VLOOKUP(C60,Ajustes!$B$7:$G$10,2,FALSE),0))</f>
        <v/>
      </c>
      <c r="F60" s="28">
        <f>IF(D60="","",D60+E60)</f>
        <v/>
      </c>
      <c r="G60" s="29">
        <f>IF(D60="","",IFERROR(VLOOKUP(C60,Ajustes!$B$7:$G$10,3,FALSE),0))</f>
        <v/>
      </c>
      <c r="H60" s="12">
        <f>IF(D60="","",ROUND(F60*G60,2))</f>
        <v/>
      </c>
      <c r="I60" s="12">
        <f>IF(D60="","",F60-H60)</f>
        <v/>
      </c>
      <c r="J60" s="12">
        <f>IF(D60="","",SUMIFS(Registro!$O$7:$O$46,Registro!$L$7:$L$46,C60,Registro!$M$7:$M$46,"Gasto",Registro!$K$7:$K$46,"&gt;="&amp;B60,Registro!$K$7:$K$46,"&lt;"&amp;(B60+7)))</f>
        <v/>
      </c>
      <c r="K60" s="12">
        <f>IF(D60="","",SUMIFS(Registro!$O$7:$O$46,Registro!$L$7:$L$46,C60,Registro!$M$7:$M$46,"Regalo",Registro!$K$7:$K$46,"&gt;="&amp;B60,Registro!$K$7:$K$46,"&lt;"&amp;(B60+7)))</f>
        <v/>
      </c>
      <c r="L60" s="12">
        <f>IF(D60="","",I60+K60-J60)</f>
        <v/>
      </c>
      <c r="M60" s="30">
        <f>IF(D60="","",IF(L60&lt;0,"Gastó de más",IF(L60=0,"Justo","Le sobra")))</f>
        <v/>
      </c>
    </row>
    <row r="61">
      <c r="B61" s="25" t="n"/>
      <c r="C61" s="26" t="n"/>
      <c r="D61" s="12">
        <f>IF(OR(B61="",C61=""),"",SUMIFS(Registro!$G$7:$G$66,Registro!$C$7:$C$66,C61,Registro!$H$7:$H$66,B61))</f>
        <v/>
      </c>
      <c r="E61" s="12">
        <f>IF(D61="","",IFERROR(VLOOKUP(C61,Ajustes!$B$7:$G$10,2,FALSE),0))</f>
        <v/>
      </c>
      <c r="F61" s="28">
        <f>IF(D61="","",D61+E61)</f>
        <v/>
      </c>
      <c r="G61" s="29">
        <f>IF(D61="","",IFERROR(VLOOKUP(C61,Ajustes!$B$7:$G$10,3,FALSE),0))</f>
        <v/>
      </c>
      <c r="H61" s="12">
        <f>IF(D61="","",ROUND(F61*G61,2))</f>
        <v/>
      </c>
      <c r="I61" s="12">
        <f>IF(D61="","",F61-H61)</f>
        <v/>
      </c>
      <c r="J61" s="12">
        <f>IF(D61="","",SUMIFS(Registro!$O$7:$O$46,Registro!$L$7:$L$46,C61,Registro!$M$7:$M$46,"Gasto",Registro!$K$7:$K$46,"&gt;="&amp;B61,Registro!$K$7:$K$46,"&lt;"&amp;(B61+7)))</f>
        <v/>
      </c>
      <c r="K61" s="12">
        <f>IF(D61="","",SUMIFS(Registro!$O$7:$O$46,Registro!$L$7:$L$46,C61,Registro!$M$7:$M$46,"Regalo",Registro!$K$7:$K$46,"&gt;="&amp;B61,Registro!$K$7:$K$46,"&lt;"&amp;(B61+7)))</f>
        <v/>
      </c>
      <c r="L61" s="12">
        <f>IF(D61="","",I61+K61-J61)</f>
        <v/>
      </c>
      <c r="M61" s="30">
        <f>IF(D61="","",IF(L61&lt;0,"Gastó de más",IF(L61=0,"Justo","Le sobra")))</f>
        <v/>
      </c>
    </row>
    <row r="62">
      <c r="B62" s="25" t="n"/>
      <c r="C62" s="26" t="n"/>
      <c r="D62" s="12">
        <f>IF(OR(B62="",C62=""),"",SUMIFS(Registro!$G$7:$G$66,Registro!$C$7:$C$66,C62,Registro!$H$7:$H$66,B62))</f>
        <v/>
      </c>
      <c r="E62" s="12">
        <f>IF(D62="","",IFERROR(VLOOKUP(C62,Ajustes!$B$7:$G$10,2,FALSE),0))</f>
        <v/>
      </c>
      <c r="F62" s="28">
        <f>IF(D62="","",D62+E62)</f>
        <v/>
      </c>
      <c r="G62" s="29">
        <f>IF(D62="","",IFERROR(VLOOKUP(C62,Ajustes!$B$7:$G$10,3,FALSE),0))</f>
        <v/>
      </c>
      <c r="H62" s="12">
        <f>IF(D62="","",ROUND(F62*G62,2))</f>
        <v/>
      </c>
      <c r="I62" s="12">
        <f>IF(D62="","",F62-H62)</f>
        <v/>
      </c>
      <c r="J62" s="12">
        <f>IF(D62="","",SUMIFS(Registro!$O$7:$O$46,Registro!$L$7:$L$46,C62,Registro!$M$7:$M$46,"Gasto",Registro!$K$7:$K$46,"&gt;="&amp;B62,Registro!$K$7:$K$46,"&lt;"&amp;(B62+7)))</f>
        <v/>
      </c>
      <c r="K62" s="12">
        <f>IF(D62="","",SUMIFS(Registro!$O$7:$O$46,Registro!$L$7:$L$46,C62,Registro!$M$7:$M$46,"Regalo",Registro!$K$7:$K$46,"&gt;="&amp;B62,Registro!$K$7:$K$46,"&lt;"&amp;(B62+7)))</f>
        <v/>
      </c>
      <c r="L62" s="12">
        <f>IF(D62="","",I62+K62-J62)</f>
        <v/>
      </c>
      <c r="M62" s="30">
        <f>IF(D62="","",IF(L62&lt;0,"Gastó de más",IF(L62=0,"Justo","Le sobra")))</f>
        <v/>
      </c>
    </row>
    <row r="63">
      <c r="B63" s="25" t="n"/>
      <c r="C63" s="26" t="n"/>
      <c r="D63" s="12">
        <f>IF(OR(B63="",C63=""),"",SUMIFS(Registro!$G$7:$G$66,Registro!$C$7:$C$66,C63,Registro!$H$7:$H$66,B63))</f>
        <v/>
      </c>
      <c r="E63" s="12">
        <f>IF(D63="","",IFERROR(VLOOKUP(C63,Ajustes!$B$7:$G$10,2,FALSE),0))</f>
        <v/>
      </c>
      <c r="F63" s="28">
        <f>IF(D63="","",D63+E63)</f>
        <v/>
      </c>
      <c r="G63" s="29">
        <f>IF(D63="","",IFERROR(VLOOKUP(C63,Ajustes!$B$7:$G$10,3,FALSE),0))</f>
        <v/>
      </c>
      <c r="H63" s="12">
        <f>IF(D63="","",ROUND(F63*G63,2))</f>
        <v/>
      </c>
      <c r="I63" s="12">
        <f>IF(D63="","",F63-H63)</f>
        <v/>
      </c>
      <c r="J63" s="12">
        <f>IF(D63="","",SUMIFS(Registro!$O$7:$O$46,Registro!$L$7:$L$46,C63,Registro!$M$7:$M$46,"Gasto",Registro!$K$7:$K$46,"&gt;="&amp;B63,Registro!$K$7:$K$46,"&lt;"&amp;(B63+7)))</f>
        <v/>
      </c>
      <c r="K63" s="12">
        <f>IF(D63="","",SUMIFS(Registro!$O$7:$O$46,Registro!$L$7:$L$46,C63,Registro!$M$7:$M$46,"Regalo",Registro!$K$7:$K$46,"&gt;="&amp;B63,Registro!$K$7:$K$46,"&lt;"&amp;(B63+7)))</f>
        <v/>
      </c>
      <c r="L63" s="12">
        <f>IF(D63="","",I63+K63-J63)</f>
        <v/>
      </c>
      <c r="M63" s="30">
        <f>IF(D63="","",IF(L63&lt;0,"Gastó de más",IF(L63=0,"Justo","Le sobra")))</f>
        <v/>
      </c>
    </row>
    <row r="64">
      <c r="B64" s="25" t="n"/>
      <c r="C64" s="26" t="n"/>
      <c r="D64" s="12">
        <f>IF(OR(B64="",C64=""),"",SUMIFS(Registro!$G$7:$G$66,Registro!$C$7:$C$66,C64,Registro!$H$7:$H$66,B64))</f>
        <v/>
      </c>
      <c r="E64" s="12">
        <f>IF(D64="","",IFERROR(VLOOKUP(C64,Ajustes!$B$7:$G$10,2,FALSE),0))</f>
        <v/>
      </c>
      <c r="F64" s="28">
        <f>IF(D64="","",D64+E64)</f>
        <v/>
      </c>
      <c r="G64" s="29">
        <f>IF(D64="","",IFERROR(VLOOKUP(C64,Ajustes!$B$7:$G$10,3,FALSE),0))</f>
        <v/>
      </c>
      <c r="H64" s="12">
        <f>IF(D64="","",ROUND(F64*G64,2))</f>
        <v/>
      </c>
      <c r="I64" s="12">
        <f>IF(D64="","",F64-H64)</f>
        <v/>
      </c>
      <c r="J64" s="12">
        <f>IF(D64="","",SUMIFS(Registro!$O$7:$O$46,Registro!$L$7:$L$46,C64,Registro!$M$7:$M$46,"Gasto",Registro!$K$7:$K$46,"&gt;="&amp;B64,Registro!$K$7:$K$46,"&lt;"&amp;(B64+7)))</f>
        <v/>
      </c>
      <c r="K64" s="12">
        <f>IF(D64="","",SUMIFS(Registro!$O$7:$O$46,Registro!$L$7:$L$46,C64,Registro!$M$7:$M$46,"Regalo",Registro!$K$7:$K$46,"&gt;="&amp;B64,Registro!$K$7:$K$46,"&lt;"&amp;(B64+7)))</f>
        <v/>
      </c>
      <c r="L64" s="12">
        <f>IF(D64="","",I64+K64-J64)</f>
        <v/>
      </c>
      <c r="M64" s="30">
        <f>IF(D64="","",IF(L64&lt;0,"Gastó de más",IF(L64=0,"Justo","Le sobra")))</f>
        <v/>
      </c>
    </row>
    <row r="65">
      <c r="B65" s="25" t="n"/>
      <c r="C65" s="26" t="n"/>
      <c r="D65" s="12">
        <f>IF(OR(B65="",C65=""),"",SUMIFS(Registro!$G$7:$G$66,Registro!$C$7:$C$66,C65,Registro!$H$7:$H$66,B65))</f>
        <v/>
      </c>
      <c r="E65" s="12">
        <f>IF(D65="","",IFERROR(VLOOKUP(C65,Ajustes!$B$7:$G$10,2,FALSE),0))</f>
        <v/>
      </c>
      <c r="F65" s="28">
        <f>IF(D65="","",D65+E65)</f>
        <v/>
      </c>
      <c r="G65" s="29">
        <f>IF(D65="","",IFERROR(VLOOKUP(C65,Ajustes!$B$7:$G$10,3,FALSE),0))</f>
        <v/>
      </c>
      <c r="H65" s="12">
        <f>IF(D65="","",ROUND(F65*G65,2))</f>
        <v/>
      </c>
      <c r="I65" s="12">
        <f>IF(D65="","",F65-H65)</f>
        <v/>
      </c>
      <c r="J65" s="12">
        <f>IF(D65="","",SUMIFS(Registro!$O$7:$O$46,Registro!$L$7:$L$46,C65,Registro!$M$7:$M$46,"Gasto",Registro!$K$7:$K$46,"&gt;="&amp;B65,Registro!$K$7:$K$46,"&lt;"&amp;(B65+7)))</f>
        <v/>
      </c>
      <c r="K65" s="12">
        <f>IF(D65="","",SUMIFS(Registro!$O$7:$O$46,Registro!$L$7:$L$46,C65,Registro!$M$7:$M$46,"Regalo",Registro!$K$7:$K$46,"&gt;="&amp;B65,Registro!$K$7:$K$46,"&lt;"&amp;(B65+7)))</f>
        <v/>
      </c>
      <c r="L65" s="12">
        <f>IF(D65="","",I65+K65-J65)</f>
        <v/>
      </c>
      <c r="M65" s="30">
        <f>IF(D65="","",IF(L65&lt;0,"Gastó de más",IF(L65=0,"Justo","Le sobra")))</f>
        <v/>
      </c>
    </row>
    <row r="66">
      <c r="B66" s="25" t="n"/>
      <c r="C66" s="26" t="n"/>
      <c r="D66" s="12">
        <f>IF(OR(B66="",C66=""),"",SUMIFS(Registro!$G$7:$G$66,Registro!$C$7:$C$66,C66,Registro!$H$7:$H$66,B66))</f>
        <v/>
      </c>
      <c r="E66" s="12">
        <f>IF(D66="","",IFERROR(VLOOKUP(C66,Ajustes!$B$7:$G$10,2,FALSE),0))</f>
        <v/>
      </c>
      <c r="F66" s="28">
        <f>IF(D66="","",D66+E66)</f>
        <v/>
      </c>
      <c r="G66" s="29">
        <f>IF(D66="","",IFERROR(VLOOKUP(C66,Ajustes!$B$7:$G$10,3,FALSE),0))</f>
        <v/>
      </c>
      <c r="H66" s="12">
        <f>IF(D66="","",ROUND(F66*G66,2))</f>
        <v/>
      </c>
      <c r="I66" s="12">
        <f>IF(D66="","",F66-H66)</f>
        <v/>
      </c>
      <c r="J66" s="12">
        <f>IF(D66="","",SUMIFS(Registro!$O$7:$O$46,Registro!$L$7:$L$46,C66,Registro!$M$7:$M$46,"Gasto",Registro!$K$7:$K$46,"&gt;="&amp;B66,Registro!$K$7:$K$46,"&lt;"&amp;(B66+7)))</f>
        <v/>
      </c>
      <c r="K66" s="12">
        <f>IF(D66="","",SUMIFS(Registro!$O$7:$O$46,Registro!$L$7:$L$46,C66,Registro!$M$7:$M$46,"Regalo",Registro!$K$7:$K$46,"&gt;="&amp;B66,Registro!$K$7:$K$46,"&lt;"&amp;(B66+7)))</f>
        <v/>
      </c>
      <c r="L66" s="12">
        <f>IF(D66="","",I66+K66-J66)</f>
        <v/>
      </c>
      <c r="M66" s="30">
        <f>IF(D66="","",IF(L66&lt;0,"Gastó de más",IF(L66=0,"Justo","Le sobra")))</f>
        <v/>
      </c>
    </row>
    <row r="68">
      <c r="B68" s="20" t="inlineStr">
        <is>
          <t>Tienes filas preparadas hasta la 66 (20 semanas con 3 hijos). Copia el lunes y el nombre hacia abajo para añadir semanas.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M7:M66">
    <cfRule type="cellIs" priority="1" operator="equal" dxfId="1">
      <formula>"Gastó de más"</formula>
    </cfRule>
    <cfRule type="cellIs" priority="2" operator="equal" dxfId="2">
      <formula>"Justo"</formula>
    </cfRule>
    <cfRule type="cellIs" priority="3" operator="equal" dxfId="0">
      <formula>"Le sobra"</formula>
    </cfRule>
  </conditionalFormatting>
  <conditionalFormatting sqref="F7:F66">
    <cfRule type="dataBar" priority="4">
      <dataBar>
        <cfvo type="num" val="0"/>
        <cfvo type="max"/>
        <color rgb="0010B981"/>
      </dataBar>
    </cfRule>
  </conditionalFormatting>
  <dataValidations count="1">
    <dataValidation sqref="C7:C66" showDropDown="0" showInputMessage="0" showErrorMessage="0" allowBlank="1" type="list">
      <formula1>=Ajustes!$B$7:$B$10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paga semanal para hijos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1" t="inlineStr">
        <is>
          <t>1.  Empieza por la hoja Ajustes: sustituye los 3 hijos de ejemplo por los tuyos e indica la paga base semanal, el % que ahorra de cada paga, su objetivo (qué quiere comprar) y el importe. Hay hueco para 4 hijos.</t>
        </is>
      </c>
    </row>
    <row r="7" ht="30" customHeight="1">
      <c r="B7" s="31" t="inlineStr">
        <is>
          <t>2.  En el catálogo de tareas de Ajustes (celdas crema) deja las tareas de tu casa y ponles un valor en euros por vez. Puedes borrar los ejemplos y añadir hasta 30 tareas.</t>
        </is>
      </c>
    </row>
    <row r="8" ht="30" customHeight="1">
      <c r="B8" s="31" t="inlineStr">
        <is>
          <t>3.  Cada día (o cada fin de semana) abre Registro y, en la tabla de la izquierda, anota la fecha, el hijo, la tarea (desplegable) y las veces. El valor y lo ganado se calculan solos.</t>
        </is>
      </c>
    </row>
    <row r="9" ht="30" customHeight="1">
      <c r="B9" s="31" t="inlineStr">
        <is>
          <t>4.  Si una tarea no se ha hecho bien, escribe "No" en ¿Validada?: se queda en 0 € y no cuenta como tarea hecha. Por defecto cuenta como válida.</t>
        </is>
      </c>
    </row>
    <row r="10" ht="30" customHeight="1">
      <c r="B10" s="31" t="inlineStr">
        <is>
          <t>5.  En la tabla de la derecha de Registro apunta lo que el niño gasta ("Gasto") y lo que recibe de regalo ("Regalo"). Los gastos se restan de su cartera y los regalos se suman.</t>
        </is>
      </c>
    </row>
    <row r="11" ht="30" customHeight="1">
      <c r="B11" s="31" t="inlineStr">
        <is>
          <t>6.  Al cerrar cada semana, ve a Semanal y añade una fila por hijo con el lunes de esa semana y su nombre. La plantilla suma tareas y paga base, separa el ahorro y calcula el saldo.</t>
        </is>
      </c>
    </row>
    <row r="12" ht="30" customHeight="1">
      <c r="B12" s="31" t="inlineStr">
        <is>
          <t>7.  Consulta el Panel: verás la paga entregada, el ahorro acumulado, el progreso hacia cada objetivo con la fecha estimada y las tareas más pagadas.</t>
        </is>
      </c>
    </row>
    <row r="13" ht="30" customHeight="1">
      <c r="B13" s="31" t="inlineStr">
        <is>
          <t>8.  Cada mes, revisad juntos el Panel con vuestros hijos: lo que se ve con números se entiende mejor. Ajusta valores y % de ahorro si hace falta.</t>
        </is>
      </c>
    </row>
    <row r="15">
      <c r="B15" s="8" t="inlineStr">
        <is>
          <t>CONSEJOS</t>
        </is>
      </c>
    </row>
    <row r="16" ht="30" customHeight="1">
      <c r="B16" s="31" t="inlineStr">
        <is>
          <t>•  Los importes de ejemplo (paga base, valor de las tareas, % de ahorro) son ficticios y orientativos: ponlos según lo que decidáis en vuestra familia.</t>
        </is>
      </c>
    </row>
    <row r="17" ht="30" customHeight="1">
      <c r="B17" s="31" t="inlineStr">
        <is>
          <t>•  El lunes de cada semana debe ser un lunes real: la columna Semana (lunes) de Registro lo calcula y puedes copiarlo en Semanal.</t>
        </is>
      </c>
    </row>
    <row r="18" ht="30" customHeight="1">
      <c r="B18" s="31" t="inlineStr">
        <is>
          <t>•  Si cambias la paga base de un hijo en Ajustes, también se recalculan las semanas ya registradas de ese hijo.</t>
        </is>
      </c>
    </row>
    <row r="19" ht="30" customHeight="1">
      <c r="B19" s="31" t="inlineStr">
        <is>
          <t>•  Las hojas están protegidas sin contraseña (Revisar &gt; Desproteger hoja) para evitar borrar fórmulas por accidente.</t>
        </is>
      </c>
    </row>
    <row r="21">
      <c r="B21" s="20" t="inlineStr">
        <is>
          <t>Las celdas con fondo crema y texto azul son para rellenar; las verdes se calculan solas.</t>
        </is>
      </c>
    </row>
    <row r="23" ht="44" customHeight="1">
      <c r="B23" s="32" t="inlineStr">
        <is>
          <t>Aviso: plantilla de uso doméstico y educativo para organizar la paga y enseñar a ahorrar. Las cifras de ejemplo son ficticias; la cuantía de la paga y su relación con las tareas es una decisión de cada familia.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2026-10-02T13:00:44Z</dcterms:created>
  <dcterms:modified xmlns:dcterms="http://purl.org/dc/terms/" xmlns:xsi="http://www.w3.org/2001/XMLSchema-instance" xsi:type="dcterms:W3CDTF">2026-10-02T13:00:44Z</dcterms:modified>
</cp:coreProperties>
</file>