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orteo" sheetId="2" state="visible" r:id="rId2"/>
    <sheet xmlns:r="http://schemas.openxmlformats.org/officeDocument/2006/relationships" name="Décimos" sheetId="3" state="visible" r:id="rId3"/>
    <sheet xmlns:r="http://schemas.openxmlformats.org/officeDocument/2006/relationships" name="Participacione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 &quot;€&quot;"/>
    <numFmt numFmtId="167" formatCode="0.0%"/>
    <numFmt numFmtId="168" formatCode="0.000000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FFFFFF"/>
      <sz val="10"/>
    </font>
    <font>
      <name val="Arial"/>
      <b val="1"/>
      <color rgb="000B4A2F"/>
      <sz val="11"/>
    </font>
    <font>
      <name val="Arial"/>
      <i val="1"/>
      <color rgb="006B7280"/>
      <sz val="9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color rgb="00FFFFFF"/>
      <sz val="9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166" fontId="13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4" fillId="0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166" fontId="6" fillId="0" borderId="1" applyAlignment="1" pivotButton="0" quotePrefix="0" xfId="0">
      <alignment horizontal="center" vertical="center"/>
    </xf>
    <xf numFmtId="168" fontId="15" fillId="0" borderId="1" applyAlignment="1" pivotButton="0" quotePrefix="0" xfId="0">
      <alignment vertical="center"/>
    </xf>
    <xf numFmtId="0" fontId="10" fillId="0" borderId="0" pivotButton="0" quotePrefix="0" xfId="0"/>
    <xf numFmtId="166" fontId="7" fillId="0" borderId="1" applyAlignment="1" pivotButton="0" quotePrefix="0" xfId="0">
      <alignment vertical="center"/>
    </xf>
    <xf numFmtId="0" fontId="9" fillId="5" borderId="1" applyAlignment="1" pivotButton="0" quotePrefix="0" xfId="0">
      <alignment vertical="center"/>
    </xf>
    <xf numFmtId="1" fontId="9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7" fillId="6" borderId="1" applyAlignment="1" pivotButton="0" quotePrefix="0" xfId="0">
      <alignment vertical="top" wrapText="1" indent="1"/>
    </xf>
    <xf numFmtId="0" fontId="4" fillId="3" borderId="1" applyAlignment="1" applyProtection="1" pivotButton="0" quotePrefix="0" xfId="0">
      <alignment horizontal="left" vertical="center" indent="1"/>
      <protection locked="0" hidden="0"/>
    </xf>
    <xf numFmtId="0" fontId="2" fillId="0" borderId="0" applyAlignment="1" pivotButton="0" quotePrefix="0" xfId="0">
      <alignment vertical="center" wrapText="1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5" fontId="7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49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166" fontId="7" fillId="0" borderId="1" applyAlignment="1" pivotButton="0" quotePrefix="0" xfId="0">
      <alignment horizontal="right" vertical="center"/>
    </xf>
    <xf numFmtId="166" fontId="4" fillId="3" borderId="1" applyAlignment="1" applyProtection="1" pivotButton="0" quotePrefix="0" xfId="0">
      <alignment horizontal="right" vertical="center"/>
      <protection locked="0" hidden="0"/>
    </xf>
    <xf numFmtId="166" fontId="6" fillId="0" borderId="1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center" wrapText="1"/>
    </xf>
    <xf numFmtId="168" fontId="11" fillId="0" borderId="1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Personas por estado de pago</a:t>
            </a:r>
          </a:p>
        </rich>
      </tx>
    </title>
    <plotArea>
      <pieChart>
        <varyColors val="1"/>
        <ser>
          <idx val="0"/>
          <order val="0"/>
          <tx>
            <strRef>
              <f>'Panel'!C44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'Panel'!$B$45:$B$47</f>
            </numRef>
          </cat>
          <val>
            <numRef>
              <f>'Panel'!$C$45:$C$47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Participaciones por número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'Panel'!$B$19:$B$26</f>
            </numRef>
          </cat>
          <val>
            <numRef>
              <f>'Panel'!$E$19:$E$26</f>
            </numRef>
          </val>
        </ser>
        <ser>
          <idx val="1"/>
          <order val="1"/>
          <tx>
            <strRef>
              <f>'Panel'!F18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'Panel'!$B$19:$B$26</f>
            </numRef>
          </cat>
          <val>
            <numRef>
              <f>'Panel'!$F$19:$F$26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52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52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5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6" customWidth="1" min="9" max="9"/>
    <col hidden="1" width="3" customWidth="1" min="10" max="10"/>
  </cols>
  <sheetData>
    <row r="2" ht="34" customHeight="1">
      <c r="B2" s="1" t="inlineStr">
        <is>
          <t>Panel de la peña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Participaciones vendidas, dinero cobrado, quién falta por pagar y premio por número, de un vistazo.</t>
        </is>
      </c>
    </row>
    <row r="5" ht="30" customHeight="1">
      <c r="B5" s="4" t="inlineStr">
        <is>
          <t>DÉCIMOS COMPRADOS</t>
        </is>
      </c>
      <c r="C5" s="4" t="inlineStr">
        <is>
          <t>PARTICIPACIONES EMITIDAS</t>
        </is>
      </c>
      <c r="E5" s="4" t="inlineStr">
        <is>
          <t>VENDIDAS</t>
        </is>
      </c>
      <c r="G5" s="4" t="inlineStr">
        <is>
          <t>DISPONIBLES</t>
        </is>
      </c>
      <c r="I5" s="4" t="inlineStr">
        <is>
          <t>PRECIO POR PARTICIPACIÓN</t>
        </is>
      </c>
    </row>
    <row r="6" ht="36" customHeight="1">
      <c r="B6" s="5">
        <f>SUM('Décimos'!D6:D13)</f>
        <v/>
      </c>
      <c r="C6" s="5">
        <f>SUM('Décimos'!F6:F13)</f>
        <v/>
      </c>
      <c r="E6" s="5">
        <f>SUM('Décimos'!G6:G13)</f>
        <v/>
      </c>
      <c r="G6" s="5">
        <f>C6-E6</f>
        <v/>
      </c>
      <c r="I6" s="6">
        <f>Sorteo!C20</f>
        <v/>
      </c>
    </row>
    <row r="8" ht="30" customHeight="1">
      <c r="B8" s="4" t="inlineStr">
        <is>
          <t>A COBRAR</t>
        </is>
      </c>
      <c r="C8" s="4" t="inlineStr">
        <is>
          <t>COBRADO</t>
        </is>
      </c>
      <c r="E8" s="4" t="inlineStr">
        <is>
          <t>PENDIENTE DE COBRO</t>
        </is>
      </c>
      <c r="G8" s="4" t="inlineStr">
        <is>
          <t>RECARGO SOLIDARIO PREVISTO</t>
        </is>
      </c>
      <c r="I8" s="4" t="inlineStr">
        <is>
          <t>COSTE DE LOS DÉCIMOS</t>
        </is>
      </c>
    </row>
    <row r="9" ht="36" customHeight="1">
      <c r="B9" s="6">
        <f>SUM(Participaciones!E6:E45)</f>
        <v/>
      </c>
      <c r="C9" s="6">
        <f>SUM(Participaciones!F6:F45)</f>
        <v/>
      </c>
      <c r="E9" s="6">
        <f>SUM(Participaciones!I6:I45)</f>
        <v/>
      </c>
      <c r="G9" s="6">
        <f>Sorteo!C19*E6</f>
        <v/>
      </c>
      <c r="I9" s="6">
        <f>SUM('Décimos'!E6:E13)</f>
        <v/>
      </c>
    </row>
    <row r="11" ht="30" customHeight="1">
      <c r="B11" s="4" t="inlineStr">
        <is>
          <t>PREMIO TOTAL (BRUTO)</t>
        </is>
      </c>
      <c r="C11" s="4" t="inlineStr">
        <is>
          <t>PREMIO PARA PARTICIPANTES</t>
        </is>
      </c>
      <c r="E11" s="4" t="inlineStr">
        <is>
          <t>PREMIO DE LAS SIN VENDER</t>
        </is>
      </c>
      <c r="G11" s="4" t="inlineStr">
        <is>
          <t>NÚMEROS PREMIADOS</t>
        </is>
      </c>
      <c r="I11" s="4" t="inlineStr">
        <is>
          <t>DÍAS AL SORTEO</t>
        </is>
      </c>
    </row>
    <row r="12" ht="36" customHeight="1">
      <c r="B12" s="6">
        <f>SUM('Décimos'!K6:K13)</f>
        <v/>
      </c>
      <c r="C12" s="6">
        <f>SUM(Participaciones!L6:L45)</f>
        <v/>
      </c>
      <c r="E12" s="6">
        <f>SUM('Décimos'!M6:M13)</f>
        <v/>
      </c>
      <c r="G12" s="5">
        <f>COUNTIF('Décimos'!J6:J13,"Premiado")</f>
        <v/>
      </c>
      <c r="I12" s="5">
        <f>Sorteo!C22</f>
        <v/>
      </c>
    </row>
    <row r="14">
      <c r="B14" s="7" t="inlineStr">
        <is>
          <t>Participaciones vendidas</t>
        </is>
      </c>
      <c r="C14" s="8">
        <f>REPT("█",ROUND(MIN(1,IF(C6=0,0,E6/C6))*30,0))&amp;REPT("░",30-ROUND(MIN(1,IF(C6=0,0,E6/C6))*30,0))&amp;"  "&amp;ROUND(IF(C6=0,0,E6/C6)*100,0)&amp;"%"</f>
        <v/>
      </c>
    </row>
    <row r="15">
      <c r="B15" s="7" t="inlineStr">
        <is>
          <t>Dinero cobrado</t>
        </is>
      </c>
      <c r="C15" s="8">
        <f>REPT("█",ROUND(MIN(1,IF(B9=0,0,C9/B9))*30,0))&amp;REPT("░",30-ROUND(MIN(1,IF(B9=0,0,C9/B9))*30,0))&amp;"  "&amp;ROUND(IF(B9=0,0,C9/B9)*100,0)&amp;"%"</f>
        <v/>
      </c>
    </row>
    <row r="17">
      <c r="B17" s="9" t="inlineStr">
        <is>
          <t>COMPROBACIÓN POR NÚMERO</t>
        </is>
      </c>
    </row>
    <row r="18" ht="34" customHeight="1">
      <c r="B18" s="10" t="inlineStr">
        <is>
          <t>Número</t>
        </is>
      </c>
      <c r="C18" s="10" t="inlineStr">
        <is>
          <t>Décimos</t>
        </is>
      </c>
      <c r="D18" s="10" t="inlineStr">
        <is>
          <t>Emitidas</t>
        </is>
      </c>
      <c r="E18" s="10" t="inlineStr">
        <is>
          <t>Vendidas</t>
        </is>
      </c>
      <c r="F18" s="10" t="inlineStr">
        <is>
          <t>Disponibles</t>
        </is>
      </c>
      <c r="G18" s="10" t="inlineStr">
        <is>
          <t>% vendido</t>
        </is>
      </c>
      <c r="H18" s="10" t="inlineStr">
        <is>
          <t>Estado</t>
        </is>
      </c>
      <c r="I18" s="10" t="inlineStr">
        <is>
          <t>Premio por participación</t>
        </is>
      </c>
    </row>
    <row r="19">
      <c r="B19" s="11">
        <f>IF('Décimos'!B6="","",'Décimos'!B6)</f>
        <v/>
      </c>
      <c r="C19" s="12">
        <f>IF('Décimos'!$B6="","",'Décimos'!D6)</f>
        <v/>
      </c>
      <c r="D19" s="12">
        <f>IF('Décimos'!$B6="","",'Décimos'!F6)</f>
        <v/>
      </c>
      <c r="E19" s="12">
        <f>IF('Décimos'!$B6="","",'Décimos'!G6)</f>
        <v/>
      </c>
      <c r="F19" s="12">
        <f>IF('Décimos'!$B6="","",'Décimos'!H6)</f>
        <v/>
      </c>
      <c r="G19" s="13">
        <f>IF(B19="","",IF(D19=0,0,E19/D19))</f>
        <v/>
      </c>
      <c r="H19" s="14">
        <f>IF('Décimos'!$B6="","",'Décimos'!J6)</f>
        <v/>
      </c>
      <c r="I19" s="15">
        <f>IF('Décimos'!$B6="","",'Décimos'!L6)</f>
        <v/>
      </c>
    </row>
    <row r="20">
      <c r="B20" s="11">
        <f>IF('Décimos'!B7="","",'Décimos'!B7)</f>
        <v/>
      </c>
      <c r="C20" s="12">
        <f>IF('Décimos'!$B7="","",'Décimos'!D7)</f>
        <v/>
      </c>
      <c r="D20" s="12">
        <f>IF('Décimos'!$B7="","",'Décimos'!F7)</f>
        <v/>
      </c>
      <c r="E20" s="12">
        <f>IF('Décimos'!$B7="","",'Décimos'!G7)</f>
        <v/>
      </c>
      <c r="F20" s="12">
        <f>IF('Décimos'!$B7="","",'Décimos'!H7)</f>
        <v/>
      </c>
      <c r="G20" s="13">
        <f>IF(B20="","",IF(D20=0,0,E20/D20))</f>
        <v/>
      </c>
      <c r="H20" s="14">
        <f>IF('Décimos'!$B7="","",'Décimos'!J7)</f>
        <v/>
      </c>
      <c r="I20" s="15">
        <f>IF('Décimos'!$B7="","",'Décimos'!L7)</f>
        <v/>
      </c>
    </row>
    <row r="21">
      <c r="B21" s="11">
        <f>IF('Décimos'!B8="","",'Décimos'!B8)</f>
        <v/>
      </c>
      <c r="C21" s="12">
        <f>IF('Décimos'!$B8="","",'Décimos'!D8)</f>
        <v/>
      </c>
      <c r="D21" s="12">
        <f>IF('Décimos'!$B8="","",'Décimos'!F8)</f>
        <v/>
      </c>
      <c r="E21" s="12">
        <f>IF('Décimos'!$B8="","",'Décimos'!G8)</f>
        <v/>
      </c>
      <c r="F21" s="12">
        <f>IF('Décimos'!$B8="","",'Décimos'!H8)</f>
        <v/>
      </c>
      <c r="G21" s="13">
        <f>IF(B21="","",IF(D21=0,0,E21/D21))</f>
        <v/>
      </c>
      <c r="H21" s="14">
        <f>IF('Décimos'!$B8="","",'Décimos'!J8)</f>
        <v/>
      </c>
      <c r="I21" s="15">
        <f>IF('Décimos'!$B8="","",'Décimos'!L8)</f>
        <v/>
      </c>
    </row>
    <row r="22">
      <c r="B22" s="11">
        <f>IF('Décimos'!B9="","",'Décimos'!B9)</f>
        <v/>
      </c>
      <c r="C22" s="12">
        <f>IF('Décimos'!$B9="","",'Décimos'!D9)</f>
        <v/>
      </c>
      <c r="D22" s="12">
        <f>IF('Décimos'!$B9="","",'Décimos'!F9)</f>
        <v/>
      </c>
      <c r="E22" s="12">
        <f>IF('Décimos'!$B9="","",'Décimos'!G9)</f>
        <v/>
      </c>
      <c r="F22" s="12">
        <f>IF('Décimos'!$B9="","",'Décimos'!H9)</f>
        <v/>
      </c>
      <c r="G22" s="13">
        <f>IF(B22="","",IF(D22=0,0,E22/D22))</f>
        <v/>
      </c>
      <c r="H22" s="14">
        <f>IF('Décimos'!$B9="","",'Décimos'!J9)</f>
        <v/>
      </c>
      <c r="I22" s="15">
        <f>IF('Décimos'!$B9="","",'Décimos'!L9)</f>
        <v/>
      </c>
    </row>
    <row r="23">
      <c r="B23" s="11">
        <f>IF('Décimos'!B10="","",'Décimos'!B10)</f>
        <v/>
      </c>
      <c r="C23" s="12">
        <f>IF('Décimos'!$B10="","",'Décimos'!D10)</f>
        <v/>
      </c>
      <c r="D23" s="12">
        <f>IF('Décimos'!$B10="","",'Décimos'!F10)</f>
        <v/>
      </c>
      <c r="E23" s="12">
        <f>IF('Décimos'!$B10="","",'Décimos'!G10)</f>
        <v/>
      </c>
      <c r="F23" s="12">
        <f>IF('Décimos'!$B10="","",'Décimos'!H10)</f>
        <v/>
      </c>
      <c r="G23" s="13">
        <f>IF(B23="","",IF(D23=0,0,E23/D23))</f>
        <v/>
      </c>
      <c r="H23" s="14">
        <f>IF('Décimos'!$B10="","",'Décimos'!J10)</f>
        <v/>
      </c>
      <c r="I23" s="15">
        <f>IF('Décimos'!$B10="","",'Décimos'!L10)</f>
        <v/>
      </c>
    </row>
    <row r="24">
      <c r="B24" s="11">
        <f>IF('Décimos'!B11="","",'Décimos'!B11)</f>
        <v/>
      </c>
      <c r="C24" s="12">
        <f>IF('Décimos'!$B11="","",'Décimos'!D11)</f>
        <v/>
      </c>
      <c r="D24" s="12">
        <f>IF('Décimos'!$B11="","",'Décimos'!F11)</f>
        <v/>
      </c>
      <c r="E24" s="12">
        <f>IF('Décimos'!$B11="","",'Décimos'!G11)</f>
        <v/>
      </c>
      <c r="F24" s="12">
        <f>IF('Décimos'!$B11="","",'Décimos'!H11)</f>
        <v/>
      </c>
      <c r="G24" s="13">
        <f>IF(B24="","",IF(D24=0,0,E24/D24))</f>
        <v/>
      </c>
      <c r="H24" s="14">
        <f>IF('Décimos'!$B11="","",'Décimos'!J11)</f>
        <v/>
      </c>
      <c r="I24" s="15">
        <f>IF('Décimos'!$B11="","",'Décimos'!L11)</f>
        <v/>
      </c>
    </row>
    <row r="25">
      <c r="B25" s="11">
        <f>IF('Décimos'!B12="","",'Décimos'!B12)</f>
        <v/>
      </c>
      <c r="C25" s="12">
        <f>IF('Décimos'!$B12="","",'Décimos'!D12)</f>
        <v/>
      </c>
      <c r="D25" s="12">
        <f>IF('Décimos'!$B12="","",'Décimos'!F12)</f>
        <v/>
      </c>
      <c r="E25" s="12">
        <f>IF('Décimos'!$B12="","",'Décimos'!G12)</f>
        <v/>
      </c>
      <c r="F25" s="12">
        <f>IF('Décimos'!$B12="","",'Décimos'!H12)</f>
        <v/>
      </c>
      <c r="G25" s="13">
        <f>IF(B25="","",IF(D25=0,0,E25/D25))</f>
        <v/>
      </c>
      <c r="H25" s="14">
        <f>IF('Décimos'!$B12="","",'Décimos'!J12)</f>
        <v/>
      </c>
      <c r="I25" s="15">
        <f>IF('Décimos'!$B12="","",'Décimos'!L12)</f>
        <v/>
      </c>
    </row>
    <row r="26">
      <c r="B26" s="11">
        <f>IF('Décimos'!B13="","",'Décimos'!B13)</f>
        <v/>
      </c>
      <c r="C26" s="12">
        <f>IF('Décimos'!$B13="","",'Décimos'!D13)</f>
        <v/>
      </c>
      <c r="D26" s="12">
        <f>IF('Décimos'!$B13="","",'Décimos'!F13)</f>
        <v/>
      </c>
      <c r="E26" s="12">
        <f>IF('Décimos'!$B13="","",'Décimos'!G13)</f>
        <v/>
      </c>
      <c r="F26" s="12">
        <f>IF('Décimos'!$B13="","",'Décimos'!H13)</f>
        <v/>
      </c>
      <c r="G26" s="13">
        <f>IF(B26="","",IF(D26=0,0,E26/D26))</f>
        <v/>
      </c>
      <c r="H26" s="14">
        <f>IF('Décimos'!$B13="","",'Décimos'!J13)</f>
        <v/>
      </c>
      <c r="I26" s="15">
        <f>IF('Décimos'!$B13="","",'Décimos'!L13)</f>
        <v/>
      </c>
    </row>
    <row r="29">
      <c r="B29" s="9" t="inlineStr">
        <is>
          <t>QUIÉN FALTA POR PAGAR (de mayor a menor deuda)</t>
        </is>
      </c>
    </row>
    <row r="30" ht="30" customHeight="1">
      <c r="B30" s="10" t="inlineStr">
        <is>
          <t>Nombre</t>
        </is>
      </c>
      <c r="C30" s="10" t="inlineStr">
        <is>
          <t>Número</t>
        </is>
      </c>
      <c r="D30" s="10" t="inlineStr">
        <is>
          <t>Particip.</t>
        </is>
      </c>
      <c r="E30" s="10" t="inlineStr">
        <is>
          <t>A pagar</t>
        </is>
      </c>
      <c r="F30" s="10" t="inlineStr">
        <is>
          <t>Pagado</t>
        </is>
      </c>
      <c r="G30" s="10" t="inlineStr">
        <is>
          <t>Pendiente</t>
        </is>
      </c>
      <c r="H30" s="10" t="inlineStr">
        <is>
          <t>Estado</t>
        </is>
      </c>
      <c r="I30" s="10" t="inlineStr">
        <is>
          <t>Recordatorio</t>
        </is>
      </c>
    </row>
    <row r="31">
      <c r="B31" s="16">
        <f>IF($J31="","",INDEX(Participaciones!$B$6:$B$45,MATCH($J31,Participaciones!$O$6:$O$45,0)))</f>
        <v/>
      </c>
      <c r="C31" s="14">
        <f>IF($J31="","",INDEX(Participaciones!$C$6:$C$45,MATCH($J31,Participaciones!$O$6:$O$45,0)))</f>
        <v/>
      </c>
      <c r="D31" s="12">
        <f>IF($J31="","",INDEX(Participaciones!$D$6:$D$45,MATCH($J31,Participaciones!$O$6:$O$45,0)))</f>
        <v/>
      </c>
      <c r="E31" s="15">
        <f>IF($J31="","",INDEX(Participaciones!$E$6:$E$45,MATCH($J31,Participaciones!$O$6:$O$45,0)))</f>
        <v/>
      </c>
      <c r="F31" s="15">
        <f>IF($J31="","",N(INDEX(Participaciones!$F$6:$F$45,MATCH($J31,Participaciones!$O$6:$O$45,0))))</f>
        <v/>
      </c>
      <c r="G31" s="17">
        <f>IF($J31="","",INDEX(Participaciones!$I$6:$I$45,MATCH($J31,Participaciones!$O$6:$O$45,0)))</f>
        <v/>
      </c>
      <c r="H31" s="14">
        <f>IF($J31="","",INDEX(Participaciones!$J$6:$J$45,MATCH($J31,Participaciones!$O$6:$O$45,0)))</f>
        <v/>
      </c>
      <c r="I31" s="14">
        <f>IF($J31="","",INDEX(Participaciones!$K$6:$K$45,MATCH($J31,Participaciones!$O$6:$O$45,0)))</f>
        <v/>
      </c>
      <c r="J31" s="18">
        <f>IFERROR(LARGE(Participaciones!$O$6:$O$45,1),"")</f>
        <v/>
      </c>
    </row>
    <row r="32">
      <c r="B32" s="16">
        <f>IF($J32="","",INDEX(Participaciones!$B$6:$B$45,MATCH($J32,Participaciones!$O$6:$O$45,0)))</f>
        <v/>
      </c>
      <c r="C32" s="14">
        <f>IF($J32="","",INDEX(Participaciones!$C$6:$C$45,MATCH($J32,Participaciones!$O$6:$O$45,0)))</f>
        <v/>
      </c>
      <c r="D32" s="12">
        <f>IF($J32="","",INDEX(Participaciones!$D$6:$D$45,MATCH($J32,Participaciones!$O$6:$O$45,0)))</f>
        <v/>
      </c>
      <c r="E32" s="15">
        <f>IF($J32="","",INDEX(Participaciones!$E$6:$E$45,MATCH($J32,Participaciones!$O$6:$O$45,0)))</f>
        <v/>
      </c>
      <c r="F32" s="15">
        <f>IF($J32="","",N(INDEX(Participaciones!$F$6:$F$45,MATCH($J32,Participaciones!$O$6:$O$45,0))))</f>
        <v/>
      </c>
      <c r="G32" s="17">
        <f>IF($J32="","",INDEX(Participaciones!$I$6:$I$45,MATCH($J32,Participaciones!$O$6:$O$45,0)))</f>
        <v/>
      </c>
      <c r="H32" s="14">
        <f>IF($J32="","",INDEX(Participaciones!$J$6:$J$45,MATCH($J32,Participaciones!$O$6:$O$45,0)))</f>
        <v/>
      </c>
      <c r="I32" s="14">
        <f>IF($J32="","",INDEX(Participaciones!$K$6:$K$45,MATCH($J32,Participaciones!$O$6:$O$45,0)))</f>
        <v/>
      </c>
      <c r="J32" s="18">
        <f>IFERROR(LARGE(Participaciones!$O$6:$O$45,2),"")</f>
        <v/>
      </c>
    </row>
    <row r="33">
      <c r="B33" s="16">
        <f>IF($J33="","",INDEX(Participaciones!$B$6:$B$45,MATCH($J33,Participaciones!$O$6:$O$45,0)))</f>
        <v/>
      </c>
      <c r="C33" s="14">
        <f>IF($J33="","",INDEX(Participaciones!$C$6:$C$45,MATCH($J33,Participaciones!$O$6:$O$45,0)))</f>
        <v/>
      </c>
      <c r="D33" s="12">
        <f>IF($J33="","",INDEX(Participaciones!$D$6:$D$45,MATCH($J33,Participaciones!$O$6:$O$45,0)))</f>
        <v/>
      </c>
      <c r="E33" s="15">
        <f>IF($J33="","",INDEX(Participaciones!$E$6:$E$45,MATCH($J33,Participaciones!$O$6:$O$45,0)))</f>
        <v/>
      </c>
      <c r="F33" s="15">
        <f>IF($J33="","",N(INDEX(Participaciones!$F$6:$F$45,MATCH($J33,Participaciones!$O$6:$O$45,0))))</f>
        <v/>
      </c>
      <c r="G33" s="17">
        <f>IF($J33="","",INDEX(Participaciones!$I$6:$I$45,MATCH($J33,Participaciones!$O$6:$O$45,0)))</f>
        <v/>
      </c>
      <c r="H33" s="14">
        <f>IF($J33="","",INDEX(Participaciones!$J$6:$J$45,MATCH($J33,Participaciones!$O$6:$O$45,0)))</f>
        <v/>
      </c>
      <c r="I33" s="14">
        <f>IF($J33="","",INDEX(Participaciones!$K$6:$K$45,MATCH($J33,Participaciones!$O$6:$O$45,0)))</f>
        <v/>
      </c>
      <c r="J33" s="18">
        <f>IFERROR(LARGE(Participaciones!$O$6:$O$45,3),"")</f>
        <v/>
      </c>
    </row>
    <row r="34">
      <c r="B34" s="16">
        <f>IF($J34="","",INDEX(Participaciones!$B$6:$B$45,MATCH($J34,Participaciones!$O$6:$O$45,0)))</f>
        <v/>
      </c>
      <c r="C34" s="14">
        <f>IF($J34="","",INDEX(Participaciones!$C$6:$C$45,MATCH($J34,Participaciones!$O$6:$O$45,0)))</f>
        <v/>
      </c>
      <c r="D34" s="12">
        <f>IF($J34="","",INDEX(Participaciones!$D$6:$D$45,MATCH($J34,Participaciones!$O$6:$O$45,0)))</f>
        <v/>
      </c>
      <c r="E34" s="15">
        <f>IF($J34="","",INDEX(Participaciones!$E$6:$E$45,MATCH($J34,Participaciones!$O$6:$O$45,0)))</f>
        <v/>
      </c>
      <c r="F34" s="15">
        <f>IF($J34="","",N(INDEX(Participaciones!$F$6:$F$45,MATCH($J34,Participaciones!$O$6:$O$45,0))))</f>
        <v/>
      </c>
      <c r="G34" s="17">
        <f>IF($J34="","",INDEX(Participaciones!$I$6:$I$45,MATCH($J34,Participaciones!$O$6:$O$45,0)))</f>
        <v/>
      </c>
      <c r="H34" s="14">
        <f>IF($J34="","",INDEX(Participaciones!$J$6:$J$45,MATCH($J34,Participaciones!$O$6:$O$45,0)))</f>
        <v/>
      </c>
      <c r="I34" s="14">
        <f>IF($J34="","",INDEX(Participaciones!$K$6:$K$45,MATCH($J34,Participaciones!$O$6:$O$45,0)))</f>
        <v/>
      </c>
      <c r="J34" s="18">
        <f>IFERROR(LARGE(Participaciones!$O$6:$O$45,4),"")</f>
        <v/>
      </c>
    </row>
    <row r="35">
      <c r="B35" s="16">
        <f>IF($J35="","",INDEX(Participaciones!$B$6:$B$45,MATCH($J35,Participaciones!$O$6:$O$45,0)))</f>
        <v/>
      </c>
      <c r="C35" s="14">
        <f>IF($J35="","",INDEX(Participaciones!$C$6:$C$45,MATCH($J35,Participaciones!$O$6:$O$45,0)))</f>
        <v/>
      </c>
      <c r="D35" s="12">
        <f>IF($J35="","",INDEX(Participaciones!$D$6:$D$45,MATCH($J35,Participaciones!$O$6:$O$45,0)))</f>
        <v/>
      </c>
      <c r="E35" s="15">
        <f>IF($J35="","",INDEX(Participaciones!$E$6:$E$45,MATCH($J35,Participaciones!$O$6:$O$45,0)))</f>
        <v/>
      </c>
      <c r="F35" s="15">
        <f>IF($J35="","",N(INDEX(Participaciones!$F$6:$F$45,MATCH($J35,Participaciones!$O$6:$O$45,0))))</f>
        <v/>
      </c>
      <c r="G35" s="17">
        <f>IF($J35="","",INDEX(Participaciones!$I$6:$I$45,MATCH($J35,Participaciones!$O$6:$O$45,0)))</f>
        <v/>
      </c>
      <c r="H35" s="14">
        <f>IF($J35="","",INDEX(Participaciones!$J$6:$J$45,MATCH($J35,Participaciones!$O$6:$O$45,0)))</f>
        <v/>
      </c>
      <c r="I35" s="14">
        <f>IF($J35="","",INDEX(Participaciones!$K$6:$K$45,MATCH($J35,Participaciones!$O$6:$O$45,0)))</f>
        <v/>
      </c>
      <c r="J35" s="18">
        <f>IFERROR(LARGE(Participaciones!$O$6:$O$45,5),"")</f>
        <v/>
      </c>
    </row>
    <row r="36">
      <c r="B36" s="16">
        <f>IF($J36="","",INDEX(Participaciones!$B$6:$B$45,MATCH($J36,Participaciones!$O$6:$O$45,0)))</f>
        <v/>
      </c>
      <c r="C36" s="14">
        <f>IF($J36="","",INDEX(Participaciones!$C$6:$C$45,MATCH($J36,Participaciones!$O$6:$O$45,0)))</f>
        <v/>
      </c>
      <c r="D36" s="12">
        <f>IF($J36="","",INDEX(Participaciones!$D$6:$D$45,MATCH($J36,Participaciones!$O$6:$O$45,0)))</f>
        <v/>
      </c>
      <c r="E36" s="15">
        <f>IF($J36="","",INDEX(Participaciones!$E$6:$E$45,MATCH($J36,Participaciones!$O$6:$O$45,0)))</f>
        <v/>
      </c>
      <c r="F36" s="15">
        <f>IF($J36="","",N(INDEX(Participaciones!$F$6:$F$45,MATCH($J36,Participaciones!$O$6:$O$45,0))))</f>
        <v/>
      </c>
      <c r="G36" s="17">
        <f>IF($J36="","",INDEX(Participaciones!$I$6:$I$45,MATCH($J36,Participaciones!$O$6:$O$45,0)))</f>
        <v/>
      </c>
      <c r="H36" s="14">
        <f>IF($J36="","",INDEX(Participaciones!$J$6:$J$45,MATCH($J36,Participaciones!$O$6:$O$45,0)))</f>
        <v/>
      </c>
      <c r="I36" s="14">
        <f>IF($J36="","",INDEX(Participaciones!$K$6:$K$45,MATCH($J36,Participaciones!$O$6:$O$45,0)))</f>
        <v/>
      </c>
      <c r="J36" s="18">
        <f>IFERROR(LARGE(Participaciones!$O$6:$O$45,6),"")</f>
        <v/>
      </c>
    </row>
    <row r="37">
      <c r="B37" s="16">
        <f>IF($J37="","",INDEX(Participaciones!$B$6:$B$45,MATCH($J37,Participaciones!$O$6:$O$45,0)))</f>
        <v/>
      </c>
      <c r="C37" s="14">
        <f>IF($J37="","",INDEX(Participaciones!$C$6:$C$45,MATCH($J37,Participaciones!$O$6:$O$45,0)))</f>
        <v/>
      </c>
      <c r="D37" s="12">
        <f>IF($J37="","",INDEX(Participaciones!$D$6:$D$45,MATCH($J37,Participaciones!$O$6:$O$45,0)))</f>
        <v/>
      </c>
      <c r="E37" s="15">
        <f>IF($J37="","",INDEX(Participaciones!$E$6:$E$45,MATCH($J37,Participaciones!$O$6:$O$45,0)))</f>
        <v/>
      </c>
      <c r="F37" s="15">
        <f>IF($J37="","",N(INDEX(Participaciones!$F$6:$F$45,MATCH($J37,Participaciones!$O$6:$O$45,0))))</f>
        <v/>
      </c>
      <c r="G37" s="17">
        <f>IF($J37="","",INDEX(Participaciones!$I$6:$I$45,MATCH($J37,Participaciones!$O$6:$O$45,0)))</f>
        <v/>
      </c>
      <c r="H37" s="14">
        <f>IF($J37="","",INDEX(Participaciones!$J$6:$J$45,MATCH($J37,Participaciones!$O$6:$O$45,0)))</f>
        <v/>
      </c>
      <c r="I37" s="14">
        <f>IF($J37="","",INDEX(Participaciones!$K$6:$K$45,MATCH($J37,Participaciones!$O$6:$O$45,0)))</f>
        <v/>
      </c>
      <c r="J37" s="18">
        <f>IFERROR(LARGE(Participaciones!$O$6:$O$45,7),"")</f>
        <v/>
      </c>
    </row>
    <row r="38">
      <c r="B38" s="16">
        <f>IF($J38="","",INDEX(Participaciones!$B$6:$B$45,MATCH($J38,Participaciones!$O$6:$O$45,0)))</f>
        <v/>
      </c>
      <c r="C38" s="14">
        <f>IF($J38="","",INDEX(Participaciones!$C$6:$C$45,MATCH($J38,Participaciones!$O$6:$O$45,0)))</f>
        <v/>
      </c>
      <c r="D38" s="12">
        <f>IF($J38="","",INDEX(Participaciones!$D$6:$D$45,MATCH($J38,Participaciones!$O$6:$O$45,0)))</f>
        <v/>
      </c>
      <c r="E38" s="15">
        <f>IF($J38="","",INDEX(Participaciones!$E$6:$E$45,MATCH($J38,Participaciones!$O$6:$O$45,0)))</f>
        <v/>
      </c>
      <c r="F38" s="15">
        <f>IF($J38="","",N(INDEX(Participaciones!$F$6:$F$45,MATCH($J38,Participaciones!$O$6:$O$45,0))))</f>
        <v/>
      </c>
      <c r="G38" s="17">
        <f>IF($J38="","",INDEX(Participaciones!$I$6:$I$45,MATCH($J38,Participaciones!$O$6:$O$45,0)))</f>
        <v/>
      </c>
      <c r="H38" s="14">
        <f>IF($J38="","",INDEX(Participaciones!$J$6:$J$45,MATCH($J38,Participaciones!$O$6:$O$45,0)))</f>
        <v/>
      </c>
      <c r="I38" s="14">
        <f>IF($J38="","",INDEX(Participaciones!$K$6:$K$45,MATCH($J38,Participaciones!$O$6:$O$45,0)))</f>
        <v/>
      </c>
      <c r="J38" s="18">
        <f>IFERROR(LARGE(Participaciones!$O$6:$O$45,8),"")</f>
        <v/>
      </c>
    </row>
    <row r="39">
      <c r="B39" s="16">
        <f>IF($J39="","",INDEX(Participaciones!$B$6:$B$45,MATCH($J39,Participaciones!$O$6:$O$45,0)))</f>
        <v/>
      </c>
      <c r="C39" s="14">
        <f>IF($J39="","",INDEX(Participaciones!$C$6:$C$45,MATCH($J39,Participaciones!$O$6:$O$45,0)))</f>
        <v/>
      </c>
      <c r="D39" s="12">
        <f>IF($J39="","",INDEX(Participaciones!$D$6:$D$45,MATCH($J39,Participaciones!$O$6:$O$45,0)))</f>
        <v/>
      </c>
      <c r="E39" s="15">
        <f>IF($J39="","",INDEX(Participaciones!$E$6:$E$45,MATCH($J39,Participaciones!$O$6:$O$45,0)))</f>
        <v/>
      </c>
      <c r="F39" s="15">
        <f>IF($J39="","",N(INDEX(Participaciones!$F$6:$F$45,MATCH($J39,Participaciones!$O$6:$O$45,0))))</f>
        <v/>
      </c>
      <c r="G39" s="17">
        <f>IF($J39="","",INDEX(Participaciones!$I$6:$I$45,MATCH($J39,Participaciones!$O$6:$O$45,0)))</f>
        <v/>
      </c>
      <c r="H39" s="14">
        <f>IF($J39="","",INDEX(Participaciones!$J$6:$J$45,MATCH($J39,Participaciones!$O$6:$O$45,0)))</f>
        <v/>
      </c>
      <c r="I39" s="14">
        <f>IF($J39="","",INDEX(Participaciones!$K$6:$K$45,MATCH($J39,Participaciones!$O$6:$O$45,0)))</f>
        <v/>
      </c>
      <c r="J39" s="18">
        <f>IFERROR(LARGE(Participaciones!$O$6:$O$45,9),"")</f>
        <v/>
      </c>
    </row>
    <row r="40">
      <c r="B40" s="16">
        <f>IF($J40="","",INDEX(Participaciones!$B$6:$B$45,MATCH($J40,Participaciones!$O$6:$O$45,0)))</f>
        <v/>
      </c>
      <c r="C40" s="14">
        <f>IF($J40="","",INDEX(Participaciones!$C$6:$C$45,MATCH($J40,Participaciones!$O$6:$O$45,0)))</f>
        <v/>
      </c>
      <c r="D40" s="12">
        <f>IF($J40="","",INDEX(Participaciones!$D$6:$D$45,MATCH($J40,Participaciones!$O$6:$O$45,0)))</f>
        <v/>
      </c>
      <c r="E40" s="15">
        <f>IF($J40="","",INDEX(Participaciones!$E$6:$E$45,MATCH($J40,Participaciones!$O$6:$O$45,0)))</f>
        <v/>
      </c>
      <c r="F40" s="15">
        <f>IF($J40="","",N(INDEX(Participaciones!$F$6:$F$45,MATCH($J40,Participaciones!$O$6:$O$45,0))))</f>
        <v/>
      </c>
      <c r="G40" s="17">
        <f>IF($J40="","",INDEX(Participaciones!$I$6:$I$45,MATCH($J40,Participaciones!$O$6:$O$45,0)))</f>
        <v/>
      </c>
      <c r="H40" s="14">
        <f>IF($J40="","",INDEX(Participaciones!$J$6:$J$45,MATCH($J40,Participaciones!$O$6:$O$45,0)))</f>
        <v/>
      </c>
      <c r="I40" s="14">
        <f>IF($J40="","",INDEX(Participaciones!$K$6:$K$45,MATCH($J40,Participaciones!$O$6:$O$45,0)))</f>
        <v/>
      </c>
      <c r="J40" s="18">
        <f>IFERROR(LARGE(Participaciones!$O$6:$O$45,10),"")</f>
        <v/>
      </c>
    </row>
    <row r="41">
      <c r="B41" s="19">
        <f>IF(COUNTIF(Participaciones!I6:I45,"&gt;0")=0,"¡Todo el mundo ha pagado!",IF(COUNTIF(Participaciones!I6:I45,"&gt;0")&gt;10,"Se muestran las 10 deudas mayores; hay "&amp;(COUNTIF(Participaciones!I6:I45,"&gt;0")-10)&amp;" pendientes más en «Participaciones».",""))</f>
        <v/>
      </c>
    </row>
    <row r="43">
      <c r="B43" s="9" t="inlineStr">
        <is>
          <t>ESTADO DE LOS PAGOS</t>
        </is>
      </c>
    </row>
    <row r="44" ht="30" customHeight="1">
      <c r="B44" s="10" t="inlineStr">
        <is>
          <t>Estado</t>
        </is>
      </c>
      <c r="C44" s="10" t="inlineStr">
        <is>
          <t>Personas</t>
        </is>
      </c>
      <c r="D44" s="10" t="inlineStr">
        <is>
          <t>Participaciones</t>
        </is>
      </c>
      <c r="E44" s="10" t="inlineStr">
        <is>
          <t>A pagar</t>
        </is>
      </c>
      <c r="F44" s="10" t="inlineStr">
        <is>
          <t>Cobrado</t>
        </is>
      </c>
      <c r="G44" s="10" t="inlineStr">
        <is>
          <t>Pendiente</t>
        </is>
      </c>
    </row>
    <row r="45">
      <c r="B45" s="7" t="inlineStr">
        <is>
          <t>Pagado</t>
        </is>
      </c>
      <c r="C45" s="12">
        <f>COUNTIF(Participaciones!$J$6:$J$45,B45)</f>
        <v/>
      </c>
      <c r="D45" s="12">
        <f>SUMIF(Participaciones!$J$6:$J$45,B45,Participaciones!$D$6:$D$45)</f>
        <v/>
      </c>
      <c r="E45" s="20">
        <f>SUMIF(Participaciones!$J$6:$J$45,B45,Participaciones!$E$6:$E$45)</f>
        <v/>
      </c>
      <c r="F45" s="20">
        <f>SUMIF(Participaciones!$J$6:$J$45,B45,Participaciones!$F$6:$F$45)</f>
        <v/>
      </c>
      <c r="G45" s="20">
        <f>SUMIF(Participaciones!$J$6:$J$45,B45,Participaciones!$I$6:$I$45)</f>
        <v/>
      </c>
    </row>
    <row r="46">
      <c r="B46" s="7" t="inlineStr">
        <is>
          <t>Parcial</t>
        </is>
      </c>
      <c r="C46" s="12">
        <f>COUNTIF(Participaciones!$J$6:$J$45,B46)</f>
        <v/>
      </c>
      <c r="D46" s="12">
        <f>SUMIF(Participaciones!$J$6:$J$45,B46,Participaciones!$D$6:$D$45)</f>
        <v/>
      </c>
      <c r="E46" s="20">
        <f>SUMIF(Participaciones!$J$6:$J$45,B46,Participaciones!$E$6:$E$45)</f>
        <v/>
      </c>
      <c r="F46" s="20">
        <f>SUMIF(Participaciones!$J$6:$J$45,B46,Participaciones!$F$6:$F$45)</f>
        <v/>
      </c>
      <c r="G46" s="20">
        <f>SUMIF(Participaciones!$J$6:$J$45,B46,Participaciones!$I$6:$I$45)</f>
        <v/>
      </c>
    </row>
    <row r="47">
      <c r="B47" s="7" t="inlineStr">
        <is>
          <t>Pendiente</t>
        </is>
      </c>
      <c r="C47" s="12">
        <f>COUNTIF(Participaciones!$J$6:$J$45,B47)</f>
        <v/>
      </c>
      <c r="D47" s="12">
        <f>SUMIF(Participaciones!$J$6:$J$45,B47,Participaciones!$D$6:$D$45)</f>
        <v/>
      </c>
      <c r="E47" s="20">
        <f>SUMIF(Participaciones!$J$6:$J$45,B47,Participaciones!$E$6:$E$45)</f>
        <v/>
      </c>
      <c r="F47" s="20">
        <f>SUMIF(Participaciones!$J$6:$J$45,B47,Participaciones!$F$6:$F$45)</f>
        <v/>
      </c>
      <c r="G47" s="20">
        <f>SUMIF(Participaciones!$J$6:$J$45,B47,Participaciones!$I$6:$I$45)</f>
        <v/>
      </c>
    </row>
    <row r="48">
      <c r="B48" s="21" t="inlineStr">
        <is>
          <t>Total</t>
        </is>
      </c>
      <c r="C48" s="22">
        <f>SUM(C45:C47)</f>
        <v/>
      </c>
      <c r="D48" s="22">
        <f>SUM(D45:D47)</f>
        <v/>
      </c>
      <c r="E48" s="23">
        <f>SUM(E45:E47)</f>
        <v/>
      </c>
      <c r="F48" s="23">
        <f>SUM(F45:F47)</f>
        <v/>
      </c>
      <c r="G48" s="23">
        <f>SUM(G45:G47)</f>
        <v/>
      </c>
    </row>
    <row r="50">
      <c r="B50" s="9" t="inlineStr">
        <is>
          <t>MENSAJE PARA COPIAR EN EL GRUPO</t>
        </is>
      </c>
    </row>
    <row r="51" ht="62" customHeight="1">
      <c r="B51" s="24">
        <f>IF(G6&lt;=0,"Peña «"&amp;Sorteo!C5&amp;"»: ¡ya no quedan participaciones por vender! ","Peña «"&amp;Sorteo!C5&amp;"»: quedan "&amp;G6&amp;" participaciones por vender ("&amp;ROUND(I6,2)&amp;" € cada una). ")&amp;IF(E9=0,"Está todo cobrado. ¡Gracias!","Faltan "&amp;ROUND(E9,2)&amp;" € por cobrar; pagad antes del "&amp;DAY(Sorteo!C14)&amp;"/"&amp;MONTH(Sorteo!C14)&amp;"/"&amp;YEAR(Sorteo!C14)&amp;". ")&amp;"¡Suerte a todos!"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3">
    <mergeCell ref="E12:F12"/>
    <mergeCell ref="G12:H12"/>
    <mergeCell ref="C6:D6"/>
    <mergeCell ref="G11:H11"/>
    <mergeCell ref="C5:D5"/>
    <mergeCell ref="E5:F5"/>
    <mergeCell ref="B3:I3"/>
    <mergeCell ref="G8:H8"/>
    <mergeCell ref="E8:F8"/>
    <mergeCell ref="B2:I2"/>
    <mergeCell ref="G6:H6"/>
    <mergeCell ref="C9:D9"/>
    <mergeCell ref="C15:I15"/>
    <mergeCell ref="E9:F9"/>
    <mergeCell ref="C14:I14"/>
    <mergeCell ref="C12:D12"/>
    <mergeCell ref="E6:F6"/>
    <mergeCell ref="C11:D11"/>
    <mergeCell ref="E11:F11"/>
    <mergeCell ref="G5:H5"/>
    <mergeCell ref="C8:D8"/>
    <mergeCell ref="B51:I51"/>
    <mergeCell ref="G9:H9"/>
  </mergeCells>
  <conditionalFormatting sqref="G6">
    <cfRule type="expression" priority="1" dxfId="0">
      <formula>$G$6&lt;0</formula>
    </cfRule>
  </conditionalFormatting>
  <conditionalFormatting sqref="E9">
    <cfRule type="expression" priority="2" dxfId="1">
      <formula>$E$9&gt;0</formula>
    </cfRule>
  </conditionalFormatting>
  <conditionalFormatting sqref="I12">
    <cfRule type="expression" priority="3" dxfId="0">
      <formula>AND(ISNUMBER($I$12),$I$12&lt;0)</formula>
    </cfRule>
  </conditionalFormatting>
  <conditionalFormatting sqref="G19:G26">
    <cfRule type="dataBar" priority="4">
      <dataBar>
        <cfvo type="num" val="0"/>
        <cfvo type="max"/>
        <color rgb="0034D399"/>
      </dataBar>
    </cfRule>
  </conditionalFormatting>
  <conditionalFormatting sqref="H19:H26">
    <cfRule type="cellIs" priority="5" operator="equal" dxfId="2">
      <formula>"Premiado"</formula>
    </cfRule>
    <cfRule type="cellIs" priority="6" operator="equal" dxfId="1">
      <formula>"Pendiente"</formula>
    </cfRule>
  </conditionalFormatting>
  <conditionalFormatting sqref="F19:F26">
    <cfRule type="expression" priority="7" dxfId="0">
      <formula>AND(ISNUMBER($F19),$F19&lt;0)</formula>
    </cfRule>
  </conditionalFormatting>
  <conditionalFormatting sqref="H31:H40">
    <cfRule type="cellIs" priority="8" operator="equal" dxfId="0">
      <formula>"Pendiente"</formula>
    </cfRule>
    <cfRule type="cellIs" priority="9" operator="equal" dxfId="1">
      <formula>"Parcial"</formula>
    </cfRule>
  </conditionalFormatting>
  <conditionalFormatting sqref="I31:I40">
    <cfRule type="cellIs" priority="10" operator="equal" dxfId="0">
      <formula>"Reclamar ya"</formula>
    </cfRule>
    <cfRule type="cellIs" priority="11" operator="equal" dxfId="1">
      <formula>"Recordar"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D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28" customWidth="1" min="3" max="3"/>
    <col width="66" customWidth="1" min="4" max="4"/>
  </cols>
  <sheetData>
    <row r="2" ht="34" customHeight="1">
      <c r="B2" s="1" t="inlineStr">
        <is>
          <t>Datos del sorteo y precio de la participación</t>
        </is>
      </c>
      <c r="C2" s="2" t="n"/>
      <c r="D2" s="2" t="n"/>
    </row>
    <row r="3">
      <c r="B3" s="3" t="inlineStr">
        <is>
          <t>Aquí defines el precio del décimo, cuántas participaciones salen de cada uno y el recargo solidario. Todos los importes son editables.</t>
        </is>
      </c>
    </row>
    <row r="5">
      <c r="B5" s="7" t="inlineStr">
        <is>
          <t>Nombre de la peña o grupo</t>
        </is>
      </c>
      <c r="C5" s="25" t="inlineStr">
        <is>
          <t>Peña de la oficina</t>
        </is>
      </c>
      <c r="D5" s="26" t="inlineStr">
        <is>
          <t>Texto libre: aparece en el mensaje para el grupo.</t>
        </is>
      </c>
    </row>
    <row r="6">
      <c r="B6" s="7" t="inlineStr">
        <is>
          <t>Organizador/a</t>
        </is>
      </c>
      <c r="C6" s="25" t="inlineStr">
        <is>
          <t>Marta</t>
        </is>
      </c>
      <c r="D6" s="26" t="inlineStr">
        <is>
          <t>Quien compra los décimos y recoge el dinero.</t>
        </is>
      </c>
    </row>
    <row r="7">
      <c r="B7" s="7" t="inlineStr">
        <is>
          <t>Sorteo</t>
        </is>
      </c>
      <c r="C7" s="25" t="inlineStr">
        <is>
          <t>Lotería de Navidad 2026</t>
        </is>
      </c>
      <c r="D7" s="26" t="inlineStr">
        <is>
          <t>Texto libre.</t>
        </is>
      </c>
    </row>
    <row r="8">
      <c r="B8" s="7" t="inlineStr">
        <is>
          <t>Fecha del sorteo</t>
        </is>
      </c>
      <c r="C8" s="27" t="n">
        <v>46378</v>
      </c>
      <c r="D8" s="26" t="inlineStr">
        <is>
          <t>Solo para contar los días que faltan.</t>
        </is>
      </c>
    </row>
    <row r="9">
      <c r="B9" s="7" t="inlineStr">
        <is>
          <t>Precio del décimo (€)</t>
        </is>
      </c>
      <c r="C9" s="28" t="n">
        <v>20</v>
      </c>
      <c r="D9" s="26" t="inlineStr">
        <is>
          <t>Parámetro editable: cámbialo si el precio de tu décimo es distinto.</t>
        </is>
      </c>
    </row>
    <row r="10">
      <c r="B10" s="7" t="inlineStr">
        <is>
          <t>Participaciones por décimo</t>
        </is>
      </c>
      <c r="C10" s="29" t="n">
        <v>4</v>
      </c>
      <c r="D10" s="26" t="inlineStr">
        <is>
          <t>En cuántas partes repartes cada décimo (por ejemplo, 4).</t>
        </is>
      </c>
    </row>
    <row r="11">
      <c r="B11" s="7" t="inlineStr">
        <is>
          <t>Recargo solidario por participación (€)</t>
        </is>
      </c>
      <c r="C11" s="28" t="n">
        <v>1</v>
      </c>
      <c r="D11" s="26" t="inlineStr">
        <is>
          <t>Donativo opcional que se suma al precio base (para una causa, para gastos de la peña…).</t>
        </is>
      </c>
    </row>
    <row r="12">
      <c r="B12" s="7" t="inlineStr">
        <is>
          <t>¿Aplicar el recargo solidario?</t>
        </is>
      </c>
      <c r="C12" s="30" t="inlineStr">
        <is>
          <t>Sí</t>
        </is>
      </c>
      <c r="D12" s="26" t="inlineStr">
        <is>
          <t>Elige Sí o No en el desplegable.</t>
        </is>
      </c>
    </row>
    <row r="13">
      <c r="B13" s="7" t="inlineStr">
        <is>
          <t>Descuento a aplicar al premio (%)</t>
        </is>
      </c>
      <c r="C13" s="31" t="n">
        <v>0</v>
      </c>
      <c r="D13" s="26" t="inlineStr">
        <is>
          <t>Parámetro editable: por si quieres descontar retenciones o gastos al repartir. Por defecto 0 %.</t>
        </is>
      </c>
    </row>
    <row r="14">
      <c r="B14" s="7" t="inlineStr">
        <is>
          <t>Fecha límite para pagar</t>
        </is>
      </c>
      <c r="C14" s="27" t="n">
        <v>46371</v>
      </c>
      <c r="D14" s="26" t="inlineStr">
        <is>
          <t>A partir de ella el estado pasa a «Reclamar ya».</t>
        </is>
      </c>
    </row>
    <row r="15">
      <c r="B15" s="7" t="inlineStr">
        <is>
          <t>Días de aviso antes del límite</t>
        </is>
      </c>
      <c r="C15" s="29" t="n">
        <v>7</v>
      </c>
      <c r="D15" s="26" t="inlineStr">
        <is>
          <t>Cuántos días antes del límite se marca «Recordar».</t>
        </is>
      </c>
    </row>
    <row r="17">
      <c r="B17" s="9" t="inlineStr">
        <is>
          <t>CALCULADO AUTOMÁTICAMENTE</t>
        </is>
      </c>
    </row>
    <row r="18">
      <c r="B18" s="7" t="inlineStr">
        <is>
          <t>Precio base por participación</t>
        </is>
      </c>
      <c r="C18" s="17">
        <f>IF(C10=0,0,ROUND(C9/C10,2))</f>
        <v/>
      </c>
      <c r="D18" s="32" t="inlineStr">
        <is>
          <t>Precio del décimo ÷ participaciones por décimo.</t>
        </is>
      </c>
    </row>
    <row r="19">
      <c r="B19" s="7" t="inlineStr">
        <is>
          <t>Recargo solidario aplicado</t>
        </is>
      </c>
      <c r="C19" s="17">
        <f>IF(C12="Sí",C11,0)</f>
        <v/>
      </c>
      <c r="D19" s="32" t="inlineStr">
        <is>
          <t>Es el recargo de C11 si has elegido «Sí» en C12; si no, 0.</t>
        </is>
      </c>
    </row>
    <row r="20">
      <c r="B20" s="7" t="inlineStr">
        <is>
          <t>Precio total por participación</t>
        </is>
      </c>
      <c r="C20" s="17">
        <f>C18+C19</f>
        <v/>
      </c>
      <c r="D20" s="32" t="inlineStr">
        <is>
          <t>Lo que paga cada persona por cada participación.</t>
        </is>
      </c>
    </row>
    <row r="21">
      <c r="B21" s="7" t="inlineStr">
        <is>
          <t>Hoy</t>
        </is>
      </c>
      <c r="C21" s="33">
        <f>TODAY()</f>
        <v/>
      </c>
    </row>
    <row r="22">
      <c r="B22" s="7" t="inlineStr">
        <is>
          <t>Días hasta el sorteo</t>
        </is>
      </c>
      <c r="C22" s="34">
        <f>IF(C8="","",C8-C21)</f>
        <v/>
      </c>
      <c r="D22" s="32" t="inlineStr">
        <is>
          <t>Negativo = el sorteo ya ha pasado.</t>
        </is>
      </c>
    </row>
    <row r="23">
      <c r="B23" s="7" t="inlineStr">
        <is>
          <t>Días hasta la fecha límite de pago</t>
        </is>
      </c>
      <c r="C23" s="34">
        <f>IF(C14="","",C14-C21)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conditionalFormatting sqref="C22">
    <cfRule type="expression" priority="1" dxfId="0">
      <formula>AND(ISNUMBER($C$22),$C$22&lt;0)</formula>
    </cfRule>
  </conditionalFormatting>
  <conditionalFormatting sqref="C23">
    <cfRule type="expression" priority="2" dxfId="0">
      <formula>AND(ISNUMBER($C$23),$C$23&lt;0)</formula>
    </cfRule>
    <cfRule type="expression" priority="3" dxfId="1">
      <formula>AND(ISNUMBER($C$23),$C$23&gt;=0,$C$23&lt;=$C$15)</formula>
    </cfRule>
  </conditionalFormatting>
  <dataValidations count="4">
    <dataValidation sqref="C12" showDropDown="0" showInputMessage="0" showErrorMessage="0" allowBlank="1" type="list">
      <formula1>=Listas!$B$2:$B$3</formula1>
    </dataValidation>
    <dataValidation sqref="C9 C11" showDropDown="0" showInputMessage="0" showErrorMessage="1" allowBlank="1" errorTitle="Importe" error="Escribe un importe igual o mayor que 0." type="decimal" operator="greaterThanOrEqual">
      <formula1>0</formula1>
    </dataValidation>
    <dataValidation sqref="C10" showDropDown="0" showInputMessage="0" showErrorMessage="1" allowBlank="1" errorTitle="Participaciones" error="Escribe un número entero de 1 o más." type="whole" operator="greaterThanOrEqual">
      <formula1>1</formula1>
    </dataValidation>
    <dataValidation sqref="C13" showDropDown="0" showInputMessage="0" showErrorMessage="1" allowBlank="1" errorTitle="Porcentaje" error="Escribe un porcentaje entre 0 % y 100 %." type="decimal" operator="between">
      <formula1>0</formula1>
      <formula2>1</formula2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M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30" customWidth="1" min="3" max="3"/>
    <col width="11" customWidth="1" min="4" max="4"/>
    <col width="13" customWidth="1" min="5" max="5"/>
    <col width="14" customWidth="1" min="6" max="6"/>
    <col width="11" customWidth="1" min="7" max="7"/>
    <col width="12" customWidth="1" min="8" max="8"/>
    <col width="14" customWidth="1" min="9" max="9"/>
    <col width="13" customWidth="1" min="10" max="10"/>
    <col width="14" customWidth="1" min="11" max="11"/>
    <col width="16" customWidth="1" min="12" max="12"/>
    <col width="17" customWidth="1" min="13" max="13"/>
  </cols>
  <sheetData>
    <row r="2" ht="34" customHeight="1">
      <c r="B2" s="1" t="inlineStr">
        <is>
          <t>Décimos comprados y comprobación de premios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número: cuántos décimos tienes, cuántas participaciones salen, cuántas se han vendido y el premio por décimo que anotes tras el sorteo.</t>
        </is>
      </c>
    </row>
    <row r="5" ht="58" customHeight="1">
      <c r="B5" s="10" t="inlineStr">
        <is>
          <t>Número</t>
        </is>
      </c>
      <c r="C5" s="10" t="inlineStr">
        <is>
          <t>Administración o procedencia</t>
        </is>
      </c>
      <c r="D5" s="10" t="inlineStr">
        <is>
          <t>Décimos</t>
        </is>
      </c>
      <c r="E5" s="10" t="inlineStr">
        <is>
          <t>Coste (€)</t>
        </is>
      </c>
      <c r="F5" s="10" t="inlineStr">
        <is>
          <t>Participaciones emitidas</t>
        </is>
      </c>
      <c r="G5" s="10" t="inlineStr">
        <is>
          <t>Vendidas</t>
        </is>
      </c>
      <c r="H5" s="10" t="inlineStr">
        <is>
          <t>Disponibles</t>
        </is>
      </c>
      <c r="I5" s="10" t="inlineStr">
        <is>
          <t>Premio por décimo (€)</t>
        </is>
      </c>
      <c r="J5" s="10" t="inlineStr">
        <is>
          <t>Estado</t>
        </is>
      </c>
      <c r="K5" s="10" t="inlineStr">
        <is>
          <t>Premio total (€)</t>
        </is>
      </c>
      <c r="L5" s="10" t="inlineStr">
        <is>
          <t>Premio neto por participación (€)</t>
        </is>
      </c>
      <c r="M5" s="10" t="inlineStr">
        <is>
          <t>Premio de las sin vender (€)</t>
        </is>
      </c>
    </row>
    <row r="6">
      <c r="B6" s="35" t="inlineStr">
        <is>
          <t>05827</t>
        </is>
      </c>
      <c r="C6" s="36" t="inlineStr">
        <is>
          <t>Administración de la plaza</t>
        </is>
      </c>
      <c r="D6" s="29" t="n">
        <v>3</v>
      </c>
      <c r="E6" s="37">
        <f>IF(B6="","",D6*Sorteo!$C$9)</f>
        <v/>
      </c>
      <c r="F6" s="12">
        <f>IF(B6="","",D6*Sorteo!$C$10)</f>
        <v/>
      </c>
      <c r="G6" s="12">
        <f>IF(B6="","",SUMIF(Participaciones!$C$6:$C$45,B6,Participaciones!$D$6:$D$45))</f>
        <v/>
      </c>
      <c r="H6" s="34">
        <f>IF(B6="","",F6-G6)</f>
        <v/>
      </c>
      <c r="I6" s="38" t="n">
        <v>20</v>
      </c>
      <c r="J6" s="14">
        <f>IF(B6="","",IF(I6="","Pendiente",IF(I6&gt;0,"Premiado","Sin premio")))</f>
        <v/>
      </c>
      <c r="K6" s="37">
        <f>IF(OR(B6="",I6=""),"",D6*I6)</f>
        <v/>
      </c>
      <c r="L6" s="39">
        <f>IF(OR(B6="",I6=""),"",IF(Sorteo!$C$10=0,0,ROUND(I6/Sorteo!$C$10*(1-Sorteo!$C$13),2)))</f>
        <v/>
      </c>
      <c r="M6" s="37">
        <f>IF(L6="","",MAX(0,H6)*L6)</f>
        <v/>
      </c>
    </row>
    <row r="7">
      <c r="B7" s="35" t="inlineStr">
        <is>
          <t>41362</t>
        </is>
      </c>
      <c r="C7" s="36" t="inlineStr">
        <is>
          <t>Administración de la plaza</t>
        </is>
      </c>
      <c r="D7" s="29" t="n">
        <v>3</v>
      </c>
      <c r="E7" s="37">
        <f>IF(B7="","",D7*Sorteo!$C$9)</f>
        <v/>
      </c>
      <c r="F7" s="12">
        <f>IF(B7="","",D7*Sorteo!$C$10)</f>
        <v/>
      </c>
      <c r="G7" s="12">
        <f>IF(B7="","",SUMIF(Participaciones!$C$6:$C$45,B7,Participaciones!$D$6:$D$45))</f>
        <v/>
      </c>
      <c r="H7" s="34">
        <f>IF(B7="","",F7-G7)</f>
        <v/>
      </c>
      <c r="I7" s="38" t="n">
        <v>0</v>
      </c>
      <c r="J7" s="14">
        <f>IF(B7="","",IF(I7="","Pendiente",IF(I7&gt;0,"Premiado","Sin premio")))</f>
        <v/>
      </c>
      <c r="K7" s="37">
        <f>IF(OR(B7="",I7=""),"",D7*I7)</f>
        <v/>
      </c>
      <c r="L7" s="39">
        <f>IF(OR(B7="",I7=""),"",IF(Sorteo!$C$10=0,0,ROUND(I7/Sorteo!$C$10*(1-Sorteo!$C$13),2)))</f>
        <v/>
      </c>
      <c r="M7" s="37">
        <f>IF(L7="","",MAX(0,H7)*L7)</f>
        <v/>
      </c>
    </row>
    <row r="8">
      <c r="B8" s="35" t="inlineStr">
        <is>
          <t>77019</t>
        </is>
      </c>
      <c r="C8" s="36" t="inlineStr">
        <is>
          <t>Compra en el trabajo</t>
        </is>
      </c>
      <c r="D8" s="29" t="n">
        <v>2</v>
      </c>
      <c r="E8" s="37">
        <f>IF(B8="","",D8*Sorteo!$C$9)</f>
        <v/>
      </c>
      <c r="F8" s="12">
        <f>IF(B8="","",D8*Sorteo!$C$10)</f>
        <v/>
      </c>
      <c r="G8" s="12">
        <f>IF(B8="","",SUMIF(Participaciones!$C$6:$C$45,B8,Participaciones!$D$6:$D$45))</f>
        <v/>
      </c>
      <c r="H8" s="34">
        <f>IF(B8="","",F8-G8)</f>
        <v/>
      </c>
      <c r="I8" s="38" t="n">
        <v>100</v>
      </c>
      <c r="J8" s="14">
        <f>IF(B8="","",IF(I8="","Pendiente",IF(I8&gt;0,"Premiado","Sin premio")))</f>
        <v/>
      </c>
      <c r="K8" s="37">
        <f>IF(OR(B8="",I8=""),"",D8*I8)</f>
        <v/>
      </c>
      <c r="L8" s="39">
        <f>IF(OR(B8="",I8=""),"",IF(Sorteo!$C$10=0,0,ROUND(I8/Sorteo!$C$10*(1-Sorteo!$C$13),2)))</f>
        <v/>
      </c>
      <c r="M8" s="37">
        <f>IF(L8="","",MAX(0,H8)*L8)</f>
        <v/>
      </c>
    </row>
    <row r="9">
      <c r="B9" s="35" t="inlineStr">
        <is>
          <t>12906</t>
        </is>
      </c>
      <c r="C9" s="36" t="inlineStr">
        <is>
          <t>Compra en el trabajo</t>
        </is>
      </c>
      <c r="D9" s="29" t="n">
        <v>2</v>
      </c>
      <c r="E9" s="37">
        <f>IF(B9="","",D9*Sorteo!$C$9)</f>
        <v/>
      </c>
      <c r="F9" s="12">
        <f>IF(B9="","",D9*Sorteo!$C$10)</f>
        <v/>
      </c>
      <c r="G9" s="12">
        <f>IF(B9="","",SUMIF(Participaciones!$C$6:$C$45,B9,Participaciones!$D$6:$D$45))</f>
        <v/>
      </c>
      <c r="H9" s="34">
        <f>IF(B9="","",F9-G9)</f>
        <v/>
      </c>
      <c r="I9" s="38" t="n">
        <v>0</v>
      </c>
      <c r="J9" s="14">
        <f>IF(B9="","",IF(I9="","Pendiente",IF(I9&gt;0,"Premiado","Sin premio")))</f>
        <v/>
      </c>
      <c r="K9" s="37">
        <f>IF(OR(B9="",I9=""),"",D9*I9)</f>
        <v/>
      </c>
      <c r="L9" s="39">
        <f>IF(OR(B9="",I9=""),"",IF(Sorteo!$C$10=0,0,ROUND(I9/Sorteo!$C$10*(1-Sorteo!$C$13),2)))</f>
        <v/>
      </c>
      <c r="M9" s="37">
        <f>IF(L9="","",MAX(0,H9)*L9)</f>
        <v/>
      </c>
    </row>
    <row r="10">
      <c r="B10" s="35" t="n"/>
      <c r="C10" s="36" t="n"/>
      <c r="D10" s="29" t="n"/>
      <c r="E10" s="37">
        <f>IF(B10="","",D10*Sorteo!$C$9)</f>
        <v/>
      </c>
      <c r="F10" s="12">
        <f>IF(B10="","",D10*Sorteo!$C$10)</f>
        <v/>
      </c>
      <c r="G10" s="12">
        <f>IF(B10="","",SUMIF(Participaciones!$C$6:$C$45,B10,Participaciones!$D$6:$D$45))</f>
        <v/>
      </c>
      <c r="H10" s="34">
        <f>IF(B10="","",F10-G10)</f>
        <v/>
      </c>
      <c r="I10" s="38" t="n"/>
      <c r="J10" s="14">
        <f>IF(B10="","",IF(I10="","Pendiente",IF(I10&gt;0,"Premiado","Sin premio")))</f>
        <v/>
      </c>
      <c r="K10" s="37">
        <f>IF(OR(B10="",I10=""),"",D10*I10)</f>
        <v/>
      </c>
      <c r="L10" s="39">
        <f>IF(OR(B10="",I10=""),"",IF(Sorteo!$C$10=0,0,ROUND(I10/Sorteo!$C$10*(1-Sorteo!$C$13),2)))</f>
        <v/>
      </c>
      <c r="M10" s="37">
        <f>IF(L10="","",MAX(0,H10)*L10)</f>
        <v/>
      </c>
    </row>
    <row r="11">
      <c r="B11" s="35" t="n"/>
      <c r="C11" s="36" t="n"/>
      <c r="D11" s="29" t="n"/>
      <c r="E11" s="37">
        <f>IF(B11="","",D11*Sorteo!$C$9)</f>
        <v/>
      </c>
      <c r="F11" s="12">
        <f>IF(B11="","",D11*Sorteo!$C$10)</f>
        <v/>
      </c>
      <c r="G11" s="12">
        <f>IF(B11="","",SUMIF(Participaciones!$C$6:$C$45,B11,Participaciones!$D$6:$D$45))</f>
        <v/>
      </c>
      <c r="H11" s="34">
        <f>IF(B11="","",F11-G11)</f>
        <v/>
      </c>
      <c r="I11" s="38" t="n"/>
      <c r="J11" s="14">
        <f>IF(B11="","",IF(I11="","Pendiente",IF(I11&gt;0,"Premiado","Sin premio")))</f>
        <v/>
      </c>
      <c r="K11" s="37">
        <f>IF(OR(B11="",I11=""),"",D11*I11)</f>
        <v/>
      </c>
      <c r="L11" s="39">
        <f>IF(OR(B11="",I11=""),"",IF(Sorteo!$C$10=0,0,ROUND(I11/Sorteo!$C$10*(1-Sorteo!$C$13),2)))</f>
        <v/>
      </c>
      <c r="M11" s="37">
        <f>IF(L11="","",MAX(0,H11)*L11)</f>
        <v/>
      </c>
    </row>
    <row r="12">
      <c r="B12" s="35" t="n"/>
      <c r="C12" s="36" t="n"/>
      <c r="D12" s="29" t="n"/>
      <c r="E12" s="37">
        <f>IF(B12="","",D12*Sorteo!$C$9)</f>
        <v/>
      </c>
      <c r="F12" s="12">
        <f>IF(B12="","",D12*Sorteo!$C$10)</f>
        <v/>
      </c>
      <c r="G12" s="12">
        <f>IF(B12="","",SUMIF(Participaciones!$C$6:$C$45,B12,Participaciones!$D$6:$D$45))</f>
        <v/>
      </c>
      <c r="H12" s="34">
        <f>IF(B12="","",F12-G12)</f>
        <v/>
      </c>
      <c r="I12" s="38" t="n"/>
      <c r="J12" s="14">
        <f>IF(B12="","",IF(I12="","Pendiente",IF(I12&gt;0,"Premiado","Sin premio")))</f>
        <v/>
      </c>
      <c r="K12" s="37">
        <f>IF(OR(B12="",I12=""),"",D12*I12)</f>
        <v/>
      </c>
      <c r="L12" s="39">
        <f>IF(OR(B12="",I12=""),"",IF(Sorteo!$C$10=0,0,ROUND(I12/Sorteo!$C$10*(1-Sorteo!$C$13),2)))</f>
        <v/>
      </c>
      <c r="M12" s="37">
        <f>IF(L12="","",MAX(0,H12)*L12)</f>
        <v/>
      </c>
    </row>
    <row r="13">
      <c r="B13" s="35" t="n"/>
      <c r="C13" s="36" t="n"/>
      <c r="D13" s="29" t="n"/>
      <c r="E13" s="37">
        <f>IF(B13="","",D13*Sorteo!$C$9)</f>
        <v/>
      </c>
      <c r="F13" s="12">
        <f>IF(B13="","",D13*Sorteo!$C$10)</f>
        <v/>
      </c>
      <c r="G13" s="12">
        <f>IF(B13="","",SUMIF(Participaciones!$C$6:$C$45,B13,Participaciones!$D$6:$D$45))</f>
        <v/>
      </c>
      <c r="H13" s="34">
        <f>IF(B13="","",F13-G13)</f>
        <v/>
      </c>
      <c r="I13" s="38" t="n"/>
      <c r="J13" s="14">
        <f>IF(B13="","",IF(I13="","Pendiente",IF(I13&gt;0,"Premiado","Sin premio")))</f>
        <v/>
      </c>
      <c r="K13" s="37">
        <f>IF(OR(B13="",I13=""),"",D13*I13)</f>
        <v/>
      </c>
      <c r="L13" s="39">
        <f>IF(OR(B13="",I13=""),"",IF(Sorteo!$C$10=0,0,ROUND(I13/Sorteo!$C$10*(1-Sorteo!$C$13),2)))</f>
        <v/>
      </c>
      <c r="M13" s="37">
        <f>IF(L13="","",MAX(0,H13)*L13)</f>
        <v/>
      </c>
    </row>
    <row r="14">
      <c r="B14" s="21" t="inlineStr">
        <is>
          <t>Totales</t>
        </is>
      </c>
      <c r="C14" s="21" t="inlineStr"/>
      <c r="D14" s="22">
        <f>SUM(D6:D13)</f>
        <v/>
      </c>
      <c r="E14" s="23">
        <f>SUM(E6:E13)</f>
        <v/>
      </c>
      <c r="F14" s="22">
        <f>SUM(F6:F13)</f>
        <v/>
      </c>
      <c r="G14" s="22">
        <f>SUM(G6:G13)</f>
        <v/>
      </c>
      <c r="H14" s="22">
        <f>SUM(H6:H13)</f>
        <v/>
      </c>
      <c r="I14" s="21" t="inlineStr"/>
      <c r="J14" s="21" t="inlineStr"/>
      <c r="K14" s="23">
        <f>SUM(K6:K13)</f>
        <v/>
      </c>
      <c r="L14" s="21" t="inlineStr"/>
      <c r="M14" s="23">
        <f>SUM(M6:M13)</f>
        <v/>
      </c>
    </row>
    <row r="16">
      <c r="B16" s="40" t="inlineStr">
        <is>
          <t>Deja «Premio por décimo» vacío hasta conocer el resultado: el estado será «Pendiente». Escribe 0 si el número no ha tenido premio.</t>
        </is>
      </c>
    </row>
    <row r="17">
      <c r="B17" s="40" t="inlineStr">
        <is>
          <t>El premio por décimo lo anotas tú después de consultar los resultados oficiales; la plantilla no incluye ni consulta premios oficiales.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J6:J13">
    <cfRule type="cellIs" priority="1" operator="equal" dxfId="2">
      <formula>"Premiado"</formula>
    </cfRule>
    <cfRule type="cellIs" priority="2" operator="equal" dxfId="1">
      <formula>"Pendiente"</formula>
    </cfRule>
  </conditionalFormatting>
  <conditionalFormatting sqref="H6:H13">
    <cfRule type="expression" priority="3" dxfId="0">
      <formula>AND(ISNUMBER($H6),$H6&lt;0)</formula>
    </cfRule>
  </conditionalFormatting>
  <conditionalFormatting sqref="G6:G13">
    <cfRule type="dataBar" priority="4">
      <dataBar>
        <cfvo type="num" val="0"/>
        <cfvo type="max"/>
        <color rgb="0010B981"/>
      </dataBar>
    </cfRule>
  </conditionalFormatting>
  <dataValidations count="2">
    <dataValidation sqref="I6:I13" showDropDown="0" showInputMessage="0" showErrorMessage="1" allowBlank="1" errorTitle="Importe" error="Escribe un importe igual o mayor que 0." type="decimal" operator="greaterThanOrEqual">
      <formula1>0</formula1>
    </dataValidation>
    <dataValidation sqref="D6:D13" showDropDown="0" showInputMessage="0" showErrorMessage="1" allowBlank="1" errorTitle="Décimos" error="Escribe un número entero de décimos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O4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4" customWidth="1" min="4" max="4"/>
    <col width="14" customWidth="1" min="5" max="5"/>
    <col width="12" customWidth="1" min="6" max="6"/>
    <col width="13" customWidth="1" min="7" max="7"/>
    <col width="14" customWidth="1" min="8" max="8"/>
    <col width="13" customWidth="1" min="9" max="9"/>
    <col width="12" customWidth="1" min="10" max="10"/>
    <col width="14" customWidth="1" min="11" max="11"/>
    <col width="15" customWidth="1" min="12" max="12"/>
    <col width="12" customWidth="1" min="13" max="13"/>
    <col width="28" customWidth="1" min="14" max="14"/>
    <col hidden="1" width="10" customWidth="1" min="15" max="15"/>
  </cols>
  <sheetData>
    <row r="2" ht="34" customHeight="1">
      <c r="B2" s="1" t="inlineStr">
        <is>
          <t>Participantes y pagos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persona: qué número tiene, cuántas participaciones, cuánto ha pagado y cuánto le corresponde si hay premio.</t>
        </is>
      </c>
    </row>
    <row r="5" ht="44" customHeight="1">
      <c r="B5" s="10" t="inlineStr">
        <is>
          <t>Nombre</t>
        </is>
      </c>
      <c r="C5" s="10" t="inlineStr">
        <is>
          <t>Número</t>
        </is>
      </c>
      <c r="D5" s="10" t="inlineStr">
        <is>
          <t>Participaciones</t>
        </is>
      </c>
      <c r="E5" s="10" t="inlineStr">
        <is>
          <t>Importe a pagar (€)</t>
        </is>
      </c>
      <c r="F5" s="10" t="inlineStr">
        <is>
          <t>Pagado (€)</t>
        </is>
      </c>
      <c r="G5" s="10" t="inlineStr">
        <is>
          <t>Fecha de pago</t>
        </is>
      </c>
      <c r="H5" s="10" t="inlineStr">
        <is>
          <t>Método</t>
        </is>
      </c>
      <c r="I5" s="10" t="inlineStr">
        <is>
          <t>Pendiente (€)</t>
        </is>
      </c>
      <c r="J5" s="10" t="inlineStr">
        <is>
          <t>Estado</t>
        </is>
      </c>
      <c r="K5" s="10" t="inlineStr">
        <is>
          <t>Recordatorio</t>
        </is>
      </c>
      <c r="L5" s="10" t="inlineStr">
        <is>
          <t>Premio que le corresponde (€)</t>
        </is>
      </c>
      <c r="M5" s="10" t="inlineStr">
        <is>
          <t>¿Premio entregado?</t>
        </is>
      </c>
      <c r="N5" s="10" t="inlineStr">
        <is>
          <t>Nota</t>
        </is>
      </c>
      <c r="O5" s="41" t="inlineStr">
        <is>
          <t>Orden (aux.)</t>
        </is>
      </c>
    </row>
    <row r="6">
      <c r="B6" s="36" t="inlineStr">
        <is>
          <t>Ana</t>
        </is>
      </c>
      <c r="C6" s="35" t="inlineStr">
        <is>
          <t>05827</t>
        </is>
      </c>
      <c r="D6" s="29" t="n">
        <v>3</v>
      </c>
      <c r="E6" s="37">
        <f>IF(OR(B6="",D6=""),"",D6*Sorteo!$C$20)</f>
        <v/>
      </c>
      <c r="F6" s="38" t="n">
        <v>18</v>
      </c>
      <c r="G6" s="27" t="n">
        <v>46297</v>
      </c>
      <c r="H6" s="30" t="inlineStr">
        <is>
          <t>Bizum</t>
        </is>
      </c>
      <c r="I6" s="39">
        <f>IF(E6="","",MAX(0,E6-F6))</f>
        <v/>
      </c>
      <c r="J6" s="14">
        <f>IF(E6="","",IF(F6&gt;=E6,"Pagado",IF(F6&gt;0,"Parcial","Pendiente")))</f>
        <v/>
      </c>
      <c r="K6" s="14">
        <f>IF(J6="","",IF(J6="Pagado","OK",IF(Sorteo!$C$14="","En plazo",IF(TODAY()&gt;Sorteo!$C$14,"Reclamar ya",IF(Sorteo!$C$14-TODAY()&lt;=Sorteo!$C$15,"Recordar","En plazo")))))</f>
        <v/>
      </c>
      <c r="L6" s="39">
        <f>IF(OR(B6="",C6="",D6=""),"",D6*IFERROR(INDEX('Décimos'!$L$6:$L$13,MATCH(C6,'Décimos'!$B$6:$B$13,0)),0))</f>
        <v/>
      </c>
      <c r="M6" s="30" t="inlineStr">
        <is>
          <t>No</t>
        </is>
      </c>
      <c r="N6" s="36" t="inlineStr"/>
      <c r="O6" s="42">
        <f>IF(B6="","",IF(N(I6)&gt;0,I6+ROW()/1000000,""))</f>
        <v/>
      </c>
    </row>
    <row r="7">
      <c r="B7" s="36" t="inlineStr">
        <is>
          <t>Luis</t>
        </is>
      </c>
      <c r="C7" s="35" t="inlineStr">
        <is>
          <t>05827</t>
        </is>
      </c>
      <c r="D7" s="29" t="n">
        <v>2</v>
      </c>
      <c r="E7" s="37">
        <f>IF(OR(B7="",D7=""),"",D7*Sorteo!$C$20)</f>
        <v/>
      </c>
      <c r="F7" s="38" t="n">
        <v>12</v>
      </c>
      <c r="G7" s="27" t="n">
        <v>46297</v>
      </c>
      <c r="H7" s="30" t="inlineStr">
        <is>
          <t>Bizum</t>
        </is>
      </c>
      <c r="I7" s="39">
        <f>IF(E7="","",MAX(0,E7-F7))</f>
        <v/>
      </c>
      <c r="J7" s="14">
        <f>IF(E7="","",IF(F7&gt;=E7,"Pagado",IF(F7&gt;0,"Parcial","Pendiente")))</f>
        <v/>
      </c>
      <c r="K7" s="14">
        <f>IF(J7="","",IF(J7="Pagado","OK",IF(Sorteo!$C$14="","En plazo",IF(TODAY()&gt;Sorteo!$C$14,"Reclamar ya",IF(Sorteo!$C$14-TODAY()&lt;=Sorteo!$C$15,"Recordar","En plazo")))))</f>
        <v/>
      </c>
      <c r="L7" s="39">
        <f>IF(OR(B7="",C7="",D7=""),"",D7*IFERROR(INDEX('Décimos'!$L$6:$L$13,MATCH(C7,'Décimos'!$B$6:$B$13,0)),0))</f>
        <v/>
      </c>
      <c r="M7" s="30" t="inlineStr">
        <is>
          <t>No</t>
        </is>
      </c>
      <c r="N7" s="36" t="inlineStr"/>
      <c r="O7" s="42">
        <f>IF(B7="","",IF(N(I7)&gt;0,I7+ROW()/1000000,""))</f>
        <v/>
      </c>
    </row>
    <row r="8">
      <c r="B8" s="36" t="inlineStr">
        <is>
          <t>Marta</t>
        </is>
      </c>
      <c r="C8" s="35" t="inlineStr">
        <is>
          <t>05827</t>
        </is>
      </c>
      <c r="D8" s="29" t="n">
        <v>4</v>
      </c>
      <c r="E8" s="37">
        <f>IF(OR(B8="",D8=""),"",D8*Sorteo!$C$20)</f>
        <v/>
      </c>
      <c r="F8" s="38" t="n">
        <v>24</v>
      </c>
      <c r="G8" s="27" t="n">
        <v>46296</v>
      </c>
      <c r="H8" s="30" t="inlineStr">
        <is>
          <t>Efectivo</t>
        </is>
      </c>
      <c r="I8" s="39">
        <f>IF(E8="","",MAX(0,E8-F8))</f>
        <v/>
      </c>
      <c r="J8" s="14">
        <f>IF(E8="","",IF(F8&gt;=E8,"Pagado",IF(F8&gt;0,"Parcial","Pendiente")))</f>
        <v/>
      </c>
      <c r="K8" s="14">
        <f>IF(J8="","",IF(J8="Pagado","OK",IF(Sorteo!$C$14="","En plazo",IF(TODAY()&gt;Sorteo!$C$14,"Reclamar ya",IF(Sorteo!$C$14-TODAY()&lt;=Sorteo!$C$15,"Recordar","En plazo")))))</f>
        <v/>
      </c>
      <c r="L8" s="39">
        <f>IF(OR(B8="",C8="",D8=""),"",D8*IFERROR(INDEX('Décimos'!$L$6:$L$13,MATCH(C8,'Décimos'!$B$6:$B$13,0)),0))</f>
        <v/>
      </c>
      <c r="M8" s="30" t="inlineStr">
        <is>
          <t>No</t>
        </is>
      </c>
      <c r="N8" s="36" t="inlineStr">
        <is>
          <t>Organizadora</t>
        </is>
      </c>
      <c r="O8" s="42">
        <f>IF(B8="","",IF(N(I8)&gt;0,I8+ROW()/1000000,""))</f>
        <v/>
      </c>
    </row>
    <row r="9">
      <c r="B9" s="36" t="inlineStr">
        <is>
          <t>Pablo</t>
        </is>
      </c>
      <c r="C9" s="35" t="inlineStr">
        <is>
          <t>05827</t>
        </is>
      </c>
      <c r="D9" s="29" t="n">
        <v>2</v>
      </c>
      <c r="E9" s="37">
        <f>IF(OR(B9="",D9=""),"",D9*Sorteo!$C$20)</f>
        <v/>
      </c>
      <c r="F9" s="38" t="n">
        <v>6</v>
      </c>
      <c r="G9" s="27" t="n">
        <v>46298</v>
      </c>
      <c r="H9" s="30" t="inlineStr">
        <is>
          <t>Efectivo</t>
        </is>
      </c>
      <c r="I9" s="39">
        <f>IF(E9="","",MAX(0,E9-F9))</f>
        <v/>
      </c>
      <c r="J9" s="14">
        <f>IF(E9="","",IF(F9&gt;=E9,"Pagado",IF(F9&gt;0,"Parcial","Pendiente")))</f>
        <v/>
      </c>
      <c r="K9" s="14">
        <f>IF(J9="","",IF(J9="Pagado","OK",IF(Sorteo!$C$14="","En plazo",IF(TODAY()&gt;Sorteo!$C$14,"Reclamar ya",IF(Sorteo!$C$14-TODAY()&lt;=Sorteo!$C$15,"Recordar","En plazo")))))</f>
        <v/>
      </c>
      <c r="L9" s="39">
        <f>IF(OR(B9="",C9="",D9=""),"",D9*IFERROR(INDEX('Décimos'!$L$6:$L$13,MATCH(C9,'Décimos'!$B$6:$B$13,0)),0))</f>
        <v/>
      </c>
      <c r="M9" s="30" t="inlineStr">
        <is>
          <t>No</t>
        </is>
      </c>
      <c r="N9" s="36" t="inlineStr">
        <is>
          <t>Paga el resto la semana próxima</t>
        </is>
      </c>
      <c r="O9" s="42">
        <f>IF(B9="","",IF(N(I9)&gt;0,I9+ROW()/1000000,""))</f>
        <v/>
      </c>
    </row>
    <row r="10">
      <c r="B10" s="36" t="inlineStr">
        <is>
          <t>Elena</t>
        </is>
      </c>
      <c r="C10" s="35" t="inlineStr">
        <is>
          <t>41362</t>
        </is>
      </c>
      <c r="D10" s="29" t="n">
        <v>4</v>
      </c>
      <c r="E10" s="37">
        <f>IF(OR(B10="",D10=""),"",D10*Sorteo!$C$20)</f>
        <v/>
      </c>
      <c r="F10" s="38" t="n">
        <v>24</v>
      </c>
      <c r="G10" s="27" t="n">
        <v>46298</v>
      </c>
      <c r="H10" s="30" t="inlineStr">
        <is>
          <t>Transferencia</t>
        </is>
      </c>
      <c r="I10" s="39">
        <f>IF(E10="","",MAX(0,E10-F10))</f>
        <v/>
      </c>
      <c r="J10" s="14">
        <f>IF(E10="","",IF(F10&gt;=E10,"Pagado",IF(F10&gt;0,"Parcial","Pendiente")))</f>
        <v/>
      </c>
      <c r="K10" s="14">
        <f>IF(J10="","",IF(J10="Pagado","OK",IF(Sorteo!$C$14="","En plazo",IF(TODAY()&gt;Sorteo!$C$14,"Reclamar ya",IF(Sorteo!$C$14-TODAY()&lt;=Sorteo!$C$15,"Recordar","En plazo")))))</f>
        <v/>
      </c>
      <c r="L10" s="39">
        <f>IF(OR(B10="",C10="",D10=""),"",D10*IFERROR(INDEX('Décimos'!$L$6:$L$13,MATCH(C10,'Décimos'!$B$6:$B$13,0)),0))</f>
        <v/>
      </c>
      <c r="M10" s="30" t="inlineStr">
        <is>
          <t>No</t>
        </is>
      </c>
      <c r="N10" s="36" t="inlineStr"/>
      <c r="O10" s="42">
        <f>IF(B10="","",IF(N(I10)&gt;0,I10+ROW()/1000000,""))</f>
        <v/>
      </c>
    </row>
    <row r="11">
      <c r="B11" s="36" t="inlineStr">
        <is>
          <t>Jorge</t>
        </is>
      </c>
      <c r="C11" s="35" t="inlineStr">
        <is>
          <t>41362</t>
        </is>
      </c>
      <c r="D11" s="29" t="n">
        <v>2</v>
      </c>
      <c r="E11" s="37">
        <f>IF(OR(B11="",D11=""),"",D11*Sorteo!$C$20)</f>
        <v/>
      </c>
      <c r="F11" s="38" t="n">
        <v>12</v>
      </c>
      <c r="G11" s="27" t="n">
        <v>46298</v>
      </c>
      <c r="H11" s="30" t="inlineStr">
        <is>
          <t>Bizum</t>
        </is>
      </c>
      <c r="I11" s="39">
        <f>IF(E11="","",MAX(0,E11-F11))</f>
        <v/>
      </c>
      <c r="J11" s="14">
        <f>IF(E11="","",IF(F11&gt;=E11,"Pagado",IF(F11&gt;0,"Parcial","Pendiente")))</f>
        <v/>
      </c>
      <c r="K11" s="14">
        <f>IF(J11="","",IF(J11="Pagado","OK",IF(Sorteo!$C$14="","En plazo",IF(TODAY()&gt;Sorteo!$C$14,"Reclamar ya",IF(Sorteo!$C$14-TODAY()&lt;=Sorteo!$C$15,"Recordar","En plazo")))))</f>
        <v/>
      </c>
      <c r="L11" s="39">
        <f>IF(OR(B11="",C11="",D11=""),"",D11*IFERROR(INDEX('Décimos'!$L$6:$L$13,MATCH(C11,'Décimos'!$B$6:$B$13,0)),0))</f>
        <v/>
      </c>
      <c r="M11" s="30" t="inlineStr">
        <is>
          <t>No</t>
        </is>
      </c>
      <c r="N11" s="36" t="inlineStr"/>
      <c r="O11" s="42">
        <f>IF(B11="","",IF(N(I11)&gt;0,I11+ROW()/1000000,""))</f>
        <v/>
      </c>
    </row>
    <row r="12">
      <c r="B12" s="36" t="inlineStr">
        <is>
          <t>Lucía</t>
        </is>
      </c>
      <c r="C12" s="35" t="inlineStr">
        <is>
          <t>41362</t>
        </is>
      </c>
      <c r="D12" s="29" t="n">
        <v>3</v>
      </c>
      <c r="E12" s="37">
        <f>IF(OR(B12="",D12=""),"",D12*Sorteo!$C$20)</f>
        <v/>
      </c>
      <c r="F12" s="38" t="n"/>
      <c r="G12" s="27" t="n"/>
      <c r="H12" s="30" t="n"/>
      <c r="I12" s="39">
        <f>IF(E12="","",MAX(0,E12-F12))</f>
        <v/>
      </c>
      <c r="J12" s="14">
        <f>IF(E12="","",IF(F12&gt;=E12,"Pagado",IF(F12&gt;0,"Parcial","Pendiente")))</f>
        <v/>
      </c>
      <c r="K12" s="14">
        <f>IF(J12="","",IF(J12="Pagado","OK",IF(Sorteo!$C$14="","En plazo",IF(TODAY()&gt;Sorteo!$C$14,"Reclamar ya",IF(Sorteo!$C$14-TODAY()&lt;=Sorteo!$C$15,"Recordar","En plazo")))))</f>
        <v/>
      </c>
      <c r="L12" s="39">
        <f>IF(OR(B12="",C12="",D12=""),"",D12*IFERROR(INDEX('Décimos'!$L$6:$L$13,MATCH(C12,'Décimos'!$B$6:$B$13,0)),0))</f>
        <v/>
      </c>
      <c r="M12" s="30" t="inlineStr">
        <is>
          <t>No</t>
        </is>
      </c>
      <c r="N12" s="36" t="inlineStr">
        <is>
          <t>Aún sin pagar</t>
        </is>
      </c>
      <c r="O12" s="42">
        <f>IF(B12="","",IF(N(I12)&gt;0,I12+ROW()/1000000,""))</f>
        <v/>
      </c>
    </row>
    <row r="13">
      <c r="B13" s="36" t="inlineStr">
        <is>
          <t>Sergio</t>
        </is>
      </c>
      <c r="C13" s="35" t="inlineStr">
        <is>
          <t>41362</t>
        </is>
      </c>
      <c r="D13" s="29" t="n">
        <v>3</v>
      </c>
      <c r="E13" s="37">
        <f>IF(OR(B13="",D13=""),"",D13*Sorteo!$C$20)</f>
        <v/>
      </c>
      <c r="F13" s="38" t="n">
        <v>9</v>
      </c>
      <c r="G13" s="27" t="n">
        <v>46300</v>
      </c>
      <c r="H13" s="30" t="inlineStr">
        <is>
          <t>Efectivo</t>
        </is>
      </c>
      <c r="I13" s="39">
        <f>IF(E13="","",MAX(0,E13-F13))</f>
        <v/>
      </c>
      <c r="J13" s="14">
        <f>IF(E13="","",IF(F13&gt;=E13,"Pagado",IF(F13&gt;0,"Parcial","Pendiente")))</f>
        <v/>
      </c>
      <c r="K13" s="14">
        <f>IF(J13="","",IF(J13="Pagado","OK",IF(Sorteo!$C$14="","En plazo",IF(TODAY()&gt;Sorteo!$C$14,"Reclamar ya",IF(Sorteo!$C$14-TODAY()&lt;=Sorteo!$C$15,"Recordar","En plazo")))))</f>
        <v/>
      </c>
      <c r="L13" s="39">
        <f>IF(OR(B13="",C13="",D13=""),"",D13*IFERROR(INDEX('Décimos'!$L$6:$L$13,MATCH(C13,'Décimos'!$B$6:$B$13,0)),0))</f>
        <v/>
      </c>
      <c r="M13" s="30" t="inlineStr">
        <is>
          <t>No</t>
        </is>
      </c>
      <c r="N13" s="36" t="inlineStr">
        <is>
          <t>Falta la tercera participación</t>
        </is>
      </c>
      <c r="O13" s="42">
        <f>IF(B13="","",IF(N(I13)&gt;0,I13+ROW()/1000000,""))</f>
        <v/>
      </c>
    </row>
    <row r="14">
      <c r="B14" s="36" t="inlineStr">
        <is>
          <t>Irene</t>
        </is>
      </c>
      <c r="C14" s="35" t="inlineStr">
        <is>
          <t>77019</t>
        </is>
      </c>
      <c r="D14" s="29" t="n">
        <v>2</v>
      </c>
      <c r="E14" s="37">
        <f>IF(OR(B14="",D14=""),"",D14*Sorteo!$C$20)</f>
        <v/>
      </c>
      <c r="F14" s="38" t="n">
        <v>12</v>
      </c>
      <c r="G14" s="27" t="n">
        <v>46300</v>
      </c>
      <c r="H14" s="30" t="inlineStr">
        <is>
          <t>Bizum</t>
        </is>
      </c>
      <c r="I14" s="39">
        <f>IF(E14="","",MAX(0,E14-F14))</f>
        <v/>
      </c>
      <c r="J14" s="14">
        <f>IF(E14="","",IF(F14&gt;=E14,"Pagado",IF(F14&gt;0,"Parcial","Pendiente")))</f>
        <v/>
      </c>
      <c r="K14" s="14">
        <f>IF(J14="","",IF(J14="Pagado","OK",IF(Sorteo!$C$14="","En plazo",IF(TODAY()&gt;Sorteo!$C$14,"Reclamar ya",IF(Sorteo!$C$14-TODAY()&lt;=Sorteo!$C$15,"Recordar","En plazo")))))</f>
        <v/>
      </c>
      <c r="L14" s="39">
        <f>IF(OR(B14="",C14="",D14=""),"",D14*IFERROR(INDEX('Décimos'!$L$6:$L$13,MATCH(C14,'Décimos'!$B$6:$B$13,0)),0))</f>
        <v/>
      </c>
      <c r="M14" s="30" t="inlineStr">
        <is>
          <t>No</t>
        </is>
      </c>
      <c r="N14" s="36" t="inlineStr"/>
      <c r="O14" s="42">
        <f>IF(B14="","",IF(N(I14)&gt;0,I14+ROW()/1000000,""))</f>
        <v/>
      </c>
    </row>
    <row r="15">
      <c r="B15" s="36" t="inlineStr">
        <is>
          <t>Raúl</t>
        </is>
      </c>
      <c r="C15" s="35" t="inlineStr">
        <is>
          <t>77019</t>
        </is>
      </c>
      <c r="D15" s="29" t="n">
        <v>3</v>
      </c>
      <c r="E15" s="37">
        <f>IF(OR(B15="",D15=""),"",D15*Sorteo!$C$20)</f>
        <v/>
      </c>
      <c r="F15" s="38" t="n">
        <v>18</v>
      </c>
      <c r="G15" s="27" t="n">
        <v>46300</v>
      </c>
      <c r="H15" s="30" t="inlineStr">
        <is>
          <t>Efectivo</t>
        </is>
      </c>
      <c r="I15" s="39">
        <f>IF(E15="","",MAX(0,E15-F15))</f>
        <v/>
      </c>
      <c r="J15" s="14">
        <f>IF(E15="","",IF(F15&gt;=E15,"Pagado",IF(F15&gt;0,"Parcial","Pendiente")))</f>
        <v/>
      </c>
      <c r="K15" s="14">
        <f>IF(J15="","",IF(J15="Pagado","OK",IF(Sorteo!$C$14="","En plazo",IF(TODAY()&gt;Sorteo!$C$14,"Reclamar ya",IF(Sorteo!$C$14-TODAY()&lt;=Sorteo!$C$15,"Recordar","En plazo")))))</f>
        <v/>
      </c>
      <c r="L15" s="39">
        <f>IF(OR(B15="",C15="",D15=""),"",D15*IFERROR(INDEX('Décimos'!$L$6:$L$13,MATCH(C15,'Décimos'!$B$6:$B$13,0)),0))</f>
        <v/>
      </c>
      <c r="M15" s="30" t="inlineStr">
        <is>
          <t>No</t>
        </is>
      </c>
      <c r="N15" s="36" t="inlineStr"/>
      <c r="O15" s="42">
        <f>IF(B15="","",IF(N(I15)&gt;0,I15+ROW()/1000000,""))</f>
        <v/>
      </c>
    </row>
    <row r="16">
      <c r="B16" s="36" t="inlineStr">
        <is>
          <t>Nuria</t>
        </is>
      </c>
      <c r="C16" s="35" t="inlineStr">
        <is>
          <t>77019</t>
        </is>
      </c>
      <c r="D16" s="29" t="n">
        <v>1</v>
      </c>
      <c r="E16" s="37">
        <f>IF(OR(B16="",D16=""),"",D16*Sorteo!$C$20)</f>
        <v/>
      </c>
      <c r="F16" s="38" t="n"/>
      <c r="G16" s="27" t="n"/>
      <c r="H16" s="30" t="n"/>
      <c r="I16" s="39">
        <f>IF(E16="","",MAX(0,E16-F16))</f>
        <v/>
      </c>
      <c r="J16" s="14">
        <f>IF(E16="","",IF(F16&gt;=E16,"Pagado",IF(F16&gt;0,"Parcial","Pendiente")))</f>
        <v/>
      </c>
      <c r="K16" s="14">
        <f>IF(J16="","",IF(J16="Pagado","OK",IF(Sorteo!$C$14="","En plazo",IF(TODAY()&gt;Sorteo!$C$14,"Reclamar ya",IF(Sorteo!$C$14-TODAY()&lt;=Sorteo!$C$15,"Recordar","En plazo")))))</f>
        <v/>
      </c>
      <c r="L16" s="39">
        <f>IF(OR(B16="",C16="",D16=""),"",D16*IFERROR(INDEX('Décimos'!$L$6:$L$13,MATCH(C16,'Décimos'!$B$6:$B$13,0)),0))</f>
        <v/>
      </c>
      <c r="M16" s="30" t="inlineStr">
        <is>
          <t>No</t>
        </is>
      </c>
      <c r="N16" s="36" t="inlineStr">
        <is>
          <t>Dice que paga el lunes</t>
        </is>
      </c>
      <c r="O16" s="42">
        <f>IF(B16="","",IF(N(I16)&gt;0,I16+ROW()/1000000,""))</f>
        <v/>
      </c>
    </row>
    <row r="17">
      <c r="B17" s="36" t="inlineStr">
        <is>
          <t>David</t>
        </is>
      </c>
      <c r="C17" s="35" t="inlineStr">
        <is>
          <t>12906</t>
        </is>
      </c>
      <c r="D17" s="29" t="n">
        <v>4</v>
      </c>
      <c r="E17" s="37">
        <f>IF(OR(B17="",D17=""),"",D17*Sorteo!$C$20)</f>
        <v/>
      </c>
      <c r="F17" s="38" t="n">
        <v>24</v>
      </c>
      <c r="G17" s="27" t="n">
        <v>46300</v>
      </c>
      <c r="H17" s="30" t="inlineStr">
        <is>
          <t>Transferencia</t>
        </is>
      </c>
      <c r="I17" s="39">
        <f>IF(E17="","",MAX(0,E17-F17))</f>
        <v/>
      </c>
      <c r="J17" s="14">
        <f>IF(E17="","",IF(F17&gt;=E17,"Pagado",IF(F17&gt;0,"Parcial","Pendiente")))</f>
        <v/>
      </c>
      <c r="K17" s="14">
        <f>IF(J17="","",IF(J17="Pagado","OK",IF(Sorteo!$C$14="","En plazo",IF(TODAY()&gt;Sorteo!$C$14,"Reclamar ya",IF(Sorteo!$C$14-TODAY()&lt;=Sorteo!$C$15,"Recordar","En plazo")))))</f>
        <v/>
      </c>
      <c r="L17" s="39">
        <f>IF(OR(B17="",C17="",D17=""),"",D17*IFERROR(INDEX('Décimos'!$L$6:$L$13,MATCH(C17,'Décimos'!$B$6:$B$13,0)),0))</f>
        <v/>
      </c>
      <c r="M17" s="30" t="inlineStr">
        <is>
          <t>No</t>
        </is>
      </c>
      <c r="N17" s="36" t="inlineStr"/>
      <c r="O17" s="42">
        <f>IF(B17="","",IF(N(I17)&gt;0,I17+ROW()/1000000,""))</f>
        <v/>
      </c>
    </row>
    <row r="18">
      <c r="B18" s="36" t="inlineStr">
        <is>
          <t>Paula</t>
        </is>
      </c>
      <c r="C18" s="35" t="inlineStr">
        <is>
          <t>12906</t>
        </is>
      </c>
      <c r="D18" s="29" t="n">
        <v>2</v>
      </c>
      <c r="E18" s="37">
        <f>IF(OR(B18="",D18=""),"",D18*Sorteo!$C$20)</f>
        <v/>
      </c>
      <c r="F18" s="38" t="n">
        <v>6</v>
      </c>
      <c r="G18" s="27" t="n">
        <v>46300</v>
      </c>
      <c r="H18" s="30" t="inlineStr">
        <is>
          <t>Bizum</t>
        </is>
      </c>
      <c r="I18" s="39">
        <f>IF(E18="","",MAX(0,E18-F18))</f>
        <v/>
      </c>
      <c r="J18" s="14">
        <f>IF(E18="","",IF(F18&gt;=E18,"Pagado",IF(F18&gt;0,"Parcial","Pendiente")))</f>
        <v/>
      </c>
      <c r="K18" s="14">
        <f>IF(J18="","",IF(J18="Pagado","OK",IF(Sorteo!$C$14="","En plazo",IF(TODAY()&gt;Sorteo!$C$14,"Reclamar ya",IF(Sorteo!$C$14-TODAY()&lt;=Sorteo!$C$15,"Recordar","En plazo")))))</f>
        <v/>
      </c>
      <c r="L18" s="39">
        <f>IF(OR(B18="",C18="",D18=""),"",D18*IFERROR(INDEX('Décimos'!$L$6:$L$13,MATCH(C18,'Décimos'!$B$6:$B$13,0)),0))</f>
        <v/>
      </c>
      <c r="M18" s="30" t="inlineStr">
        <is>
          <t>No</t>
        </is>
      </c>
      <c r="N18" s="36" t="inlineStr"/>
      <c r="O18" s="42">
        <f>IF(B18="","",IF(N(I18)&gt;0,I18+ROW()/1000000,""))</f>
        <v/>
      </c>
    </row>
    <row r="19">
      <c r="B19" s="36" t="inlineStr">
        <is>
          <t>Álvaro</t>
        </is>
      </c>
      <c r="C19" s="35" t="inlineStr">
        <is>
          <t>12906</t>
        </is>
      </c>
      <c r="D19" s="29" t="n">
        <v>1</v>
      </c>
      <c r="E19" s="37">
        <f>IF(OR(B19="",D19=""),"",D19*Sorteo!$C$20)</f>
        <v/>
      </c>
      <c r="F19" s="38" t="n">
        <v>6</v>
      </c>
      <c r="G19" s="27" t="n">
        <v>46300</v>
      </c>
      <c r="H19" s="30" t="inlineStr">
        <is>
          <t>Bizum</t>
        </is>
      </c>
      <c r="I19" s="39">
        <f>IF(E19="","",MAX(0,E19-F19))</f>
        <v/>
      </c>
      <c r="J19" s="14">
        <f>IF(E19="","",IF(F19&gt;=E19,"Pagado",IF(F19&gt;0,"Parcial","Pendiente")))</f>
        <v/>
      </c>
      <c r="K19" s="14">
        <f>IF(J19="","",IF(J19="Pagado","OK",IF(Sorteo!$C$14="","En plazo",IF(TODAY()&gt;Sorteo!$C$14,"Reclamar ya",IF(Sorteo!$C$14-TODAY()&lt;=Sorteo!$C$15,"Recordar","En plazo")))))</f>
        <v/>
      </c>
      <c r="L19" s="39">
        <f>IF(OR(B19="",C19="",D19=""),"",D19*IFERROR(INDEX('Décimos'!$L$6:$L$13,MATCH(C19,'Décimos'!$B$6:$B$13,0)),0))</f>
        <v/>
      </c>
      <c r="M19" s="30" t="inlineStr">
        <is>
          <t>No</t>
        </is>
      </c>
      <c r="N19" s="36" t="inlineStr"/>
      <c r="O19" s="42">
        <f>IF(B19="","",IF(N(I19)&gt;0,I19+ROW()/1000000,""))</f>
        <v/>
      </c>
    </row>
    <row r="20">
      <c r="B20" s="36" t="n"/>
      <c r="C20" s="35" t="n"/>
      <c r="D20" s="29" t="n"/>
      <c r="E20" s="37">
        <f>IF(OR(B20="",D20=""),"",D20*Sorteo!$C$20)</f>
        <v/>
      </c>
      <c r="F20" s="38" t="n"/>
      <c r="G20" s="27" t="n"/>
      <c r="H20" s="30" t="n"/>
      <c r="I20" s="39">
        <f>IF(E20="","",MAX(0,E20-F20))</f>
        <v/>
      </c>
      <c r="J20" s="14">
        <f>IF(E20="","",IF(F20&gt;=E20,"Pagado",IF(F20&gt;0,"Parcial","Pendiente")))</f>
        <v/>
      </c>
      <c r="K20" s="14">
        <f>IF(J20="","",IF(J20="Pagado","OK",IF(Sorteo!$C$14="","En plazo",IF(TODAY()&gt;Sorteo!$C$14,"Reclamar ya",IF(Sorteo!$C$14-TODAY()&lt;=Sorteo!$C$15,"Recordar","En plazo")))))</f>
        <v/>
      </c>
      <c r="L20" s="39">
        <f>IF(OR(B20="",C20="",D20=""),"",D20*IFERROR(INDEX('Décimos'!$L$6:$L$13,MATCH(C20,'Décimos'!$B$6:$B$13,0)),0))</f>
        <v/>
      </c>
      <c r="M20" s="30" t="n"/>
      <c r="N20" s="36" t="n"/>
      <c r="O20" s="42">
        <f>IF(B20="","",IF(N(I20)&gt;0,I20+ROW()/1000000,""))</f>
        <v/>
      </c>
    </row>
    <row r="21">
      <c r="B21" s="36" t="n"/>
      <c r="C21" s="35" t="n"/>
      <c r="D21" s="29" t="n"/>
      <c r="E21" s="37">
        <f>IF(OR(B21="",D21=""),"",D21*Sorteo!$C$20)</f>
        <v/>
      </c>
      <c r="F21" s="38" t="n"/>
      <c r="G21" s="27" t="n"/>
      <c r="H21" s="30" t="n"/>
      <c r="I21" s="39">
        <f>IF(E21="","",MAX(0,E21-F21))</f>
        <v/>
      </c>
      <c r="J21" s="14">
        <f>IF(E21="","",IF(F21&gt;=E21,"Pagado",IF(F21&gt;0,"Parcial","Pendiente")))</f>
        <v/>
      </c>
      <c r="K21" s="14">
        <f>IF(J21="","",IF(J21="Pagado","OK",IF(Sorteo!$C$14="","En plazo",IF(TODAY()&gt;Sorteo!$C$14,"Reclamar ya",IF(Sorteo!$C$14-TODAY()&lt;=Sorteo!$C$15,"Recordar","En plazo")))))</f>
        <v/>
      </c>
      <c r="L21" s="39">
        <f>IF(OR(B21="",C21="",D21=""),"",D21*IFERROR(INDEX('Décimos'!$L$6:$L$13,MATCH(C21,'Décimos'!$B$6:$B$13,0)),0))</f>
        <v/>
      </c>
      <c r="M21" s="30" t="n"/>
      <c r="N21" s="36" t="n"/>
      <c r="O21" s="42">
        <f>IF(B21="","",IF(N(I21)&gt;0,I21+ROW()/1000000,""))</f>
        <v/>
      </c>
    </row>
    <row r="22">
      <c r="B22" s="36" t="n"/>
      <c r="C22" s="35" t="n"/>
      <c r="D22" s="29" t="n"/>
      <c r="E22" s="37">
        <f>IF(OR(B22="",D22=""),"",D22*Sorteo!$C$20)</f>
        <v/>
      </c>
      <c r="F22" s="38" t="n"/>
      <c r="G22" s="27" t="n"/>
      <c r="H22" s="30" t="n"/>
      <c r="I22" s="39">
        <f>IF(E22="","",MAX(0,E22-F22))</f>
        <v/>
      </c>
      <c r="J22" s="14">
        <f>IF(E22="","",IF(F22&gt;=E22,"Pagado",IF(F22&gt;0,"Parcial","Pendiente")))</f>
        <v/>
      </c>
      <c r="K22" s="14">
        <f>IF(J22="","",IF(J22="Pagado","OK",IF(Sorteo!$C$14="","En plazo",IF(TODAY()&gt;Sorteo!$C$14,"Reclamar ya",IF(Sorteo!$C$14-TODAY()&lt;=Sorteo!$C$15,"Recordar","En plazo")))))</f>
        <v/>
      </c>
      <c r="L22" s="39">
        <f>IF(OR(B22="",C22="",D22=""),"",D22*IFERROR(INDEX('Décimos'!$L$6:$L$13,MATCH(C22,'Décimos'!$B$6:$B$13,0)),0))</f>
        <v/>
      </c>
      <c r="M22" s="30" t="n"/>
      <c r="N22" s="36" t="n"/>
      <c r="O22" s="42">
        <f>IF(B22="","",IF(N(I22)&gt;0,I22+ROW()/1000000,""))</f>
        <v/>
      </c>
    </row>
    <row r="23">
      <c r="B23" s="36" t="n"/>
      <c r="C23" s="35" t="n"/>
      <c r="D23" s="29" t="n"/>
      <c r="E23" s="37">
        <f>IF(OR(B23="",D23=""),"",D23*Sorteo!$C$20)</f>
        <v/>
      </c>
      <c r="F23" s="38" t="n"/>
      <c r="G23" s="27" t="n"/>
      <c r="H23" s="30" t="n"/>
      <c r="I23" s="39">
        <f>IF(E23="","",MAX(0,E23-F23))</f>
        <v/>
      </c>
      <c r="J23" s="14">
        <f>IF(E23="","",IF(F23&gt;=E23,"Pagado",IF(F23&gt;0,"Parcial","Pendiente")))</f>
        <v/>
      </c>
      <c r="K23" s="14">
        <f>IF(J23="","",IF(J23="Pagado","OK",IF(Sorteo!$C$14="","En plazo",IF(TODAY()&gt;Sorteo!$C$14,"Reclamar ya",IF(Sorteo!$C$14-TODAY()&lt;=Sorteo!$C$15,"Recordar","En plazo")))))</f>
        <v/>
      </c>
      <c r="L23" s="39">
        <f>IF(OR(B23="",C23="",D23=""),"",D23*IFERROR(INDEX('Décimos'!$L$6:$L$13,MATCH(C23,'Décimos'!$B$6:$B$13,0)),0))</f>
        <v/>
      </c>
      <c r="M23" s="30" t="n"/>
      <c r="N23" s="36" t="n"/>
      <c r="O23" s="42">
        <f>IF(B23="","",IF(N(I23)&gt;0,I23+ROW()/1000000,""))</f>
        <v/>
      </c>
    </row>
    <row r="24">
      <c r="B24" s="36" t="n"/>
      <c r="C24" s="35" t="n"/>
      <c r="D24" s="29" t="n"/>
      <c r="E24" s="37">
        <f>IF(OR(B24="",D24=""),"",D24*Sorteo!$C$20)</f>
        <v/>
      </c>
      <c r="F24" s="38" t="n"/>
      <c r="G24" s="27" t="n"/>
      <c r="H24" s="30" t="n"/>
      <c r="I24" s="39">
        <f>IF(E24="","",MAX(0,E24-F24))</f>
        <v/>
      </c>
      <c r="J24" s="14">
        <f>IF(E24="","",IF(F24&gt;=E24,"Pagado",IF(F24&gt;0,"Parcial","Pendiente")))</f>
        <v/>
      </c>
      <c r="K24" s="14">
        <f>IF(J24="","",IF(J24="Pagado","OK",IF(Sorteo!$C$14="","En plazo",IF(TODAY()&gt;Sorteo!$C$14,"Reclamar ya",IF(Sorteo!$C$14-TODAY()&lt;=Sorteo!$C$15,"Recordar","En plazo")))))</f>
        <v/>
      </c>
      <c r="L24" s="39">
        <f>IF(OR(B24="",C24="",D24=""),"",D24*IFERROR(INDEX('Décimos'!$L$6:$L$13,MATCH(C24,'Décimos'!$B$6:$B$13,0)),0))</f>
        <v/>
      </c>
      <c r="M24" s="30" t="n"/>
      <c r="N24" s="36" t="n"/>
      <c r="O24" s="42">
        <f>IF(B24="","",IF(N(I24)&gt;0,I24+ROW()/1000000,""))</f>
        <v/>
      </c>
    </row>
    <row r="25">
      <c r="B25" s="36" t="n"/>
      <c r="C25" s="35" t="n"/>
      <c r="D25" s="29" t="n"/>
      <c r="E25" s="37">
        <f>IF(OR(B25="",D25=""),"",D25*Sorteo!$C$20)</f>
        <v/>
      </c>
      <c r="F25" s="38" t="n"/>
      <c r="G25" s="27" t="n"/>
      <c r="H25" s="30" t="n"/>
      <c r="I25" s="39">
        <f>IF(E25="","",MAX(0,E25-F25))</f>
        <v/>
      </c>
      <c r="J25" s="14">
        <f>IF(E25="","",IF(F25&gt;=E25,"Pagado",IF(F25&gt;0,"Parcial","Pendiente")))</f>
        <v/>
      </c>
      <c r="K25" s="14">
        <f>IF(J25="","",IF(J25="Pagado","OK",IF(Sorteo!$C$14="","En plazo",IF(TODAY()&gt;Sorteo!$C$14,"Reclamar ya",IF(Sorteo!$C$14-TODAY()&lt;=Sorteo!$C$15,"Recordar","En plazo")))))</f>
        <v/>
      </c>
      <c r="L25" s="39">
        <f>IF(OR(B25="",C25="",D25=""),"",D25*IFERROR(INDEX('Décimos'!$L$6:$L$13,MATCH(C25,'Décimos'!$B$6:$B$13,0)),0))</f>
        <v/>
      </c>
      <c r="M25" s="30" t="n"/>
      <c r="N25" s="36" t="n"/>
      <c r="O25" s="42">
        <f>IF(B25="","",IF(N(I25)&gt;0,I25+ROW()/1000000,""))</f>
        <v/>
      </c>
    </row>
    <row r="26">
      <c r="B26" s="36" t="n"/>
      <c r="C26" s="35" t="n"/>
      <c r="D26" s="29" t="n"/>
      <c r="E26" s="37">
        <f>IF(OR(B26="",D26=""),"",D26*Sorteo!$C$20)</f>
        <v/>
      </c>
      <c r="F26" s="38" t="n"/>
      <c r="G26" s="27" t="n"/>
      <c r="H26" s="30" t="n"/>
      <c r="I26" s="39">
        <f>IF(E26="","",MAX(0,E26-F26))</f>
        <v/>
      </c>
      <c r="J26" s="14">
        <f>IF(E26="","",IF(F26&gt;=E26,"Pagado",IF(F26&gt;0,"Parcial","Pendiente")))</f>
        <v/>
      </c>
      <c r="K26" s="14">
        <f>IF(J26="","",IF(J26="Pagado","OK",IF(Sorteo!$C$14="","En plazo",IF(TODAY()&gt;Sorteo!$C$14,"Reclamar ya",IF(Sorteo!$C$14-TODAY()&lt;=Sorteo!$C$15,"Recordar","En plazo")))))</f>
        <v/>
      </c>
      <c r="L26" s="39">
        <f>IF(OR(B26="",C26="",D26=""),"",D26*IFERROR(INDEX('Décimos'!$L$6:$L$13,MATCH(C26,'Décimos'!$B$6:$B$13,0)),0))</f>
        <v/>
      </c>
      <c r="M26" s="30" t="n"/>
      <c r="N26" s="36" t="n"/>
      <c r="O26" s="42">
        <f>IF(B26="","",IF(N(I26)&gt;0,I26+ROW()/1000000,""))</f>
        <v/>
      </c>
    </row>
    <row r="27">
      <c r="B27" s="36" t="n"/>
      <c r="C27" s="35" t="n"/>
      <c r="D27" s="29" t="n"/>
      <c r="E27" s="37">
        <f>IF(OR(B27="",D27=""),"",D27*Sorteo!$C$20)</f>
        <v/>
      </c>
      <c r="F27" s="38" t="n"/>
      <c r="G27" s="27" t="n"/>
      <c r="H27" s="30" t="n"/>
      <c r="I27" s="39">
        <f>IF(E27="","",MAX(0,E27-F27))</f>
        <v/>
      </c>
      <c r="J27" s="14">
        <f>IF(E27="","",IF(F27&gt;=E27,"Pagado",IF(F27&gt;0,"Parcial","Pendiente")))</f>
        <v/>
      </c>
      <c r="K27" s="14">
        <f>IF(J27="","",IF(J27="Pagado","OK",IF(Sorteo!$C$14="","En plazo",IF(TODAY()&gt;Sorteo!$C$14,"Reclamar ya",IF(Sorteo!$C$14-TODAY()&lt;=Sorteo!$C$15,"Recordar","En plazo")))))</f>
        <v/>
      </c>
      <c r="L27" s="39">
        <f>IF(OR(B27="",C27="",D27=""),"",D27*IFERROR(INDEX('Décimos'!$L$6:$L$13,MATCH(C27,'Décimos'!$B$6:$B$13,0)),0))</f>
        <v/>
      </c>
      <c r="M27" s="30" t="n"/>
      <c r="N27" s="36" t="n"/>
      <c r="O27" s="42">
        <f>IF(B27="","",IF(N(I27)&gt;0,I27+ROW()/1000000,""))</f>
        <v/>
      </c>
    </row>
    <row r="28">
      <c r="B28" s="36" t="n"/>
      <c r="C28" s="35" t="n"/>
      <c r="D28" s="29" t="n"/>
      <c r="E28" s="37">
        <f>IF(OR(B28="",D28=""),"",D28*Sorteo!$C$20)</f>
        <v/>
      </c>
      <c r="F28" s="38" t="n"/>
      <c r="G28" s="27" t="n"/>
      <c r="H28" s="30" t="n"/>
      <c r="I28" s="39">
        <f>IF(E28="","",MAX(0,E28-F28))</f>
        <v/>
      </c>
      <c r="J28" s="14">
        <f>IF(E28="","",IF(F28&gt;=E28,"Pagado",IF(F28&gt;0,"Parcial","Pendiente")))</f>
        <v/>
      </c>
      <c r="K28" s="14">
        <f>IF(J28="","",IF(J28="Pagado","OK",IF(Sorteo!$C$14="","En plazo",IF(TODAY()&gt;Sorteo!$C$14,"Reclamar ya",IF(Sorteo!$C$14-TODAY()&lt;=Sorteo!$C$15,"Recordar","En plazo")))))</f>
        <v/>
      </c>
      <c r="L28" s="39">
        <f>IF(OR(B28="",C28="",D28=""),"",D28*IFERROR(INDEX('Décimos'!$L$6:$L$13,MATCH(C28,'Décimos'!$B$6:$B$13,0)),0))</f>
        <v/>
      </c>
      <c r="M28" s="30" t="n"/>
      <c r="N28" s="36" t="n"/>
      <c r="O28" s="42">
        <f>IF(B28="","",IF(N(I28)&gt;0,I28+ROW()/1000000,""))</f>
        <v/>
      </c>
    </row>
    <row r="29">
      <c r="B29" s="36" t="n"/>
      <c r="C29" s="35" t="n"/>
      <c r="D29" s="29" t="n"/>
      <c r="E29" s="37">
        <f>IF(OR(B29="",D29=""),"",D29*Sorteo!$C$20)</f>
        <v/>
      </c>
      <c r="F29" s="38" t="n"/>
      <c r="G29" s="27" t="n"/>
      <c r="H29" s="30" t="n"/>
      <c r="I29" s="39">
        <f>IF(E29="","",MAX(0,E29-F29))</f>
        <v/>
      </c>
      <c r="J29" s="14">
        <f>IF(E29="","",IF(F29&gt;=E29,"Pagado",IF(F29&gt;0,"Parcial","Pendiente")))</f>
        <v/>
      </c>
      <c r="K29" s="14">
        <f>IF(J29="","",IF(J29="Pagado","OK",IF(Sorteo!$C$14="","En plazo",IF(TODAY()&gt;Sorteo!$C$14,"Reclamar ya",IF(Sorteo!$C$14-TODAY()&lt;=Sorteo!$C$15,"Recordar","En plazo")))))</f>
        <v/>
      </c>
      <c r="L29" s="39">
        <f>IF(OR(B29="",C29="",D29=""),"",D29*IFERROR(INDEX('Décimos'!$L$6:$L$13,MATCH(C29,'Décimos'!$B$6:$B$13,0)),0))</f>
        <v/>
      </c>
      <c r="M29" s="30" t="n"/>
      <c r="N29" s="36" t="n"/>
      <c r="O29" s="42">
        <f>IF(B29="","",IF(N(I29)&gt;0,I29+ROW()/1000000,""))</f>
        <v/>
      </c>
    </row>
    <row r="30">
      <c r="B30" s="36" t="n"/>
      <c r="C30" s="35" t="n"/>
      <c r="D30" s="29" t="n"/>
      <c r="E30" s="37">
        <f>IF(OR(B30="",D30=""),"",D30*Sorteo!$C$20)</f>
        <v/>
      </c>
      <c r="F30" s="38" t="n"/>
      <c r="G30" s="27" t="n"/>
      <c r="H30" s="30" t="n"/>
      <c r="I30" s="39">
        <f>IF(E30="","",MAX(0,E30-F30))</f>
        <v/>
      </c>
      <c r="J30" s="14">
        <f>IF(E30="","",IF(F30&gt;=E30,"Pagado",IF(F30&gt;0,"Parcial","Pendiente")))</f>
        <v/>
      </c>
      <c r="K30" s="14">
        <f>IF(J30="","",IF(J30="Pagado","OK",IF(Sorteo!$C$14="","En plazo",IF(TODAY()&gt;Sorteo!$C$14,"Reclamar ya",IF(Sorteo!$C$14-TODAY()&lt;=Sorteo!$C$15,"Recordar","En plazo")))))</f>
        <v/>
      </c>
      <c r="L30" s="39">
        <f>IF(OR(B30="",C30="",D30=""),"",D30*IFERROR(INDEX('Décimos'!$L$6:$L$13,MATCH(C30,'Décimos'!$B$6:$B$13,0)),0))</f>
        <v/>
      </c>
      <c r="M30" s="30" t="n"/>
      <c r="N30" s="36" t="n"/>
      <c r="O30" s="42">
        <f>IF(B30="","",IF(N(I30)&gt;0,I30+ROW()/1000000,""))</f>
        <v/>
      </c>
    </row>
    <row r="31">
      <c r="B31" s="36" t="n"/>
      <c r="C31" s="35" t="n"/>
      <c r="D31" s="29" t="n"/>
      <c r="E31" s="37">
        <f>IF(OR(B31="",D31=""),"",D31*Sorteo!$C$20)</f>
        <v/>
      </c>
      <c r="F31" s="38" t="n"/>
      <c r="G31" s="27" t="n"/>
      <c r="H31" s="30" t="n"/>
      <c r="I31" s="39">
        <f>IF(E31="","",MAX(0,E31-F31))</f>
        <v/>
      </c>
      <c r="J31" s="14">
        <f>IF(E31="","",IF(F31&gt;=E31,"Pagado",IF(F31&gt;0,"Parcial","Pendiente")))</f>
        <v/>
      </c>
      <c r="K31" s="14">
        <f>IF(J31="","",IF(J31="Pagado","OK",IF(Sorteo!$C$14="","En plazo",IF(TODAY()&gt;Sorteo!$C$14,"Reclamar ya",IF(Sorteo!$C$14-TODAY()&lt;=Sorteo!$C$15,"Recordar","En plazo")))))</f>
        <v/>
      </c>
      <c r="L31" s="39">
        <f>IF(OR(B31="",C31="",D31=""),"",D31*IFERROR(INDEX('Décimos'!$L$6:$L$13,MATCH(C31,'Décimos'!$B$6:$B$13,0)),0))</f>
        <v/>
      </c>
      <c r="M31" s="30" t="n"/>
      <c r="N31" s="36" t="n"/>
      <c r="O31" s="42">
        <f>IF(B31="","",IF(N(I31)&gt;0,I31+ROW()/1000000,""))</f>
        <v/>
      </c>
    </row>
    <row r="32">
      <c r="B32" s="36" t="n"/>
      <c r="C32" s="35" t="n"/>
      <c r="D32" s="29" t="n"/>
      <c r="E32" s="37">
        <f>IF(OR(B32="",D32=""),"",D32*Sorteo!$C$20)</f>
        <v/>
      </c>
      <c r="F32" s="38" t="n"/>
      <c r="G32" s="27" t="n"/>
      <c r="H32" s="30" t="n"/>
      <c r="I32" s="39">
        <f>IF(E32="","",MAX(0,E32-F32))</f>
        <v/>
      </c>
      <c r="J32" s="14">
        <f>IF(E32="","",IF(F32&gt;=E32,"Pagado",IF(F32&gt;0,"Parcial","Pendiente")))</f>
        <v/>
      </c>
      <c r="K32" s="14">
        <f>IF(J32="","",IF(J32="Pagado","OK",IF(Sorteo!$C$14="","En plazo",IF(TODAY()&gt;Sorteo!$C$14,"Reclamar ya",IF(Sorteo!$C$14-TODAY()&lt;=Sorteo!$C$15,"Recordar","En plazo")))))</f>
        <v/>
      </c>
      <c r="L32" s="39">
        <f>IF(OR(B32="",C32="",D32=""),"",D32*IFERROR(INDEX('Décimos'!$L$6:$L$13,MATCH(C32,'Décimos'!$B$6:$B$13,0)),0))</f>
        <v/>
      </c>
      <c r="M32" s="30" t="n"/>
      <c r="N32" s="36" t="n"/>
      <c r="O32" s="42">
        <f>IF(B32="","",IF(N(I32)&gt;0,I32+ROW()/1000000,""))</f>
        <v/>
      </c>
    </row>
    <row r="33">
      <c r="B33" s="36" t="n"/>
      <c r="C33" s="35" t="n"/>
      <c r="D33" s="29" t="n"/>
      <c r="E33" s="37">
        <f>IF(OR(B33="",D33=""),"",D33*Sorteo!$C$20)</f>
        <v/>
      </c>
      <c r="F33" s="38" t="n"/>
      <c r="G33" s="27" t="n"/>
      <c r="H33" s="30" t="n"/>
      <c r="I33" s="39">
        <f>IF(E33="","",MAX(0,E33-F33))</f>
        <v/>
      </c>
      <c r="J33" s="14">
        <f>IF(E33="","",IF(F33&gt;=E33,"Pagado",IF(F33&gt;0,"Parcial","Pendiente")))</f>
        <v/>
      </c>
      <c r="K33" s="14">
        <f>IF(J33="","",IF(J33="Pagado","OK",IF(Sorteo!$C$14="","En plazo",IF(TODAY()&gt;Sorteo!$C$14,"Reclamar ya",IF(Sorteo!$C$14-TODAY()&lt;=Sorteo!$C$15,"Recordar","En plazo")))))</f>
        <v/>
      </c>
      <c r="L33" s="39">
        <f>IF(OR(B33="",C33="",D33=""),"",D33*IFERROR(INDEX('Décimos'!$L$6:$L$13,MATCH(C33,'Décimos'!$B$6:$B$13,0)),0))</f>
        <v/>
      </c>
      <c r="M33" s="30" t="n"/>
      <c r="N33" s="36" t="n"/>
      <c r="O33" s="42">
        <f>IF(B33="","",IF(N(I33)&gt;0,I33+ROW()/1000000,""))</f>
        <v/>
      </c>
    </row>
    <row r="34">
      <c r="B34" s="36" t="n"/>
      <c r="C34" s="35" t="n"/>
      <c r="D34" s="29" t="n"/>
      <c r="E34" s="37">
        <f>IF(OR(B34="",D34=""),"",D34*Sorteo!$C$20)</f>
        <v/>
      </c>
      <c r="F34" s="38" t="n"/>
      <c r="G34" s="27" t="n"/>
      <c r="H34" s="30" t="n"/>
      <c r="I34" s="39">
        <f>IF(E34="","",MAX(0,E34-F34))</f>
        <v/>
      </c>
      <c r="J34" s="14">
        <f>IF(E34="","",IF(F34&gt;=E34,"Pagado",IF(F34&gt;0,"Parcial","Pendiente")))</f>
        <v/>
      </c>
      <c r="K34" s="14">
        <f>IF(J34="","",IF(J34="Pagado","OK",IF(Sorteo!$C$14="","En plazo",IF(TODAY()&gt;Sorteo!$C$14,"Reclamar ya",IF(Sorteo!$C$14-TODAY()&lt;=Sorteo!$C$15,"Recordar","En plazo")))))</f>
        <v/>
      </c>
      <c r="L34" s="39">
        <f>IF(OR(B34="",C34="",D34=""),"",D34*IFERROR(INDEX('Décimos'!$L$6:$L$13,MATCH(C34,'Décimos'!$B$6:$B$13,0)),0))</f>
        <v/>
      </c>
      <c r="M34" s="30" t="n"/>
      <c r="N34" s="36" t="n"/>
      <c r="O34" s="42">
        <f>IF(B34="","",IF(N(I34)&gt;0,I34+ROW()/1000000,""))</f>
        <v/>
      </c>
    </row>
    <row r="35">
      <c r="B35" s="36" t="n"/>
      <c r="C35" s="35" t="n"/>
      <c r="D35" s="29" t="n"/>
      <c r="E35" s="37">
        <f>IF(OR(B35="",D35=""),"",D35*Sorteo!$C$20)</f>
        <v/>
      </c>
      <c r="F35" s="38" t="n"/>
      <c r="G35" s="27" t="n"/>
      <c r="H35" s="30" t="n"/>
      <c r="I35" s="39">
        <f>IF(E35="","",MAX(0,E35-F35))</f>
        <v/>
      </c>
      <c r="J35" s="14">
        <f>IF(E35="","",IF(F35&gt;=E35,"Pagado",IF(F35&gt;0,"Parcial","Pendiente")))</f>
        <v/>
      </c>
      <c r="K35" s="14">
        <f>IF(J35="","",IF(J35="Pagado","OK",IF(Sorteo!$C$14="","En plazo",IF(TODAY()&gt;Sorteo!$C$14,"Reclamar ya",IF(Sorteo!$C$14-TODAY()&lt;=Sorteo!$C$15,"Recordar","En plazo")))))</f>
        <v/>
      </c>
      <c r="L35" s="39">
        <f>IF(OR(B35="",C35="",D35=""),"",D35*IFERROR(INDEX('Décimos'!$L$6:$L$13,MATCH(C35,'Décimos'!$B$6:$B$13,0)),0))</f>
        <v/>
      </c>
      <c r="M35" s="30" t="n"/>
      <c r="N35" s="36" t="n"/>
      <c r="O35" s="42">
        <f>IF(B35="","",IF(N(I35)&gt;0,I35+ROW()/1000000,""))</f>
        <v/>
      </c>
    </row>
    <row r="36">
      <c r="B36" s="36" t="n"/>
      <c r="C36" s="35" t="n"/>
      <c r="D36" s="29" t="n"/>
      <c r="E36" s="37">
        <f>IF(OR(B36="",D36=""),"",D36*Sorteo!$C$20)</f>
        <v/>
      </c>
      <c r="F36" s="38" t="n"/>
      <c r="G36" s="27" t="n"/>
      <c r="H36" s="30" t="n"/>
      <c r="I36" s="39">
        <f>IF(E36="","",MAX(0,E36-F36))</f>
        <v/>
      </c>
      <c r="J36" s="14">
        <f>IF(E36="","",IF(F36&gt;=E36,"Pagado",IF(F36&gt;0,"Parcial","Pendiente")))</f>
        <v/>
      </c>
      <c r="K36" s="14">
        <f>IF(J36="","",IF(J36="Pagado","OK",IF(Sorteo!$C$14="","En plazo",IF(TODAY()&gt;Sorteo!$C$14,"Reclamar ya",IF(Sorteo!$C$14-TODAY()&lt;=Sorteo!$C$15,"Recordar","En plazo")))))</f>
        <v/>
      </c>
      <c r="L36" s="39">
        <f>IF(OR(B36="",C36="",D36=""),"",D36*IFERROR(INDEX('Décimos'!$L$6:$L$13,MATCH(C36,'Décimos'!$B$6:$B$13,0)),0))</f>
        <v/>
      </c>
      <c r="M36" s="30" t="n"/>
      <c r="N36" s="36" t="n"/>
      <c r="O36" s="42">
        <f>IF(B36="","",IF(N(I36)&gt;0,I36+ROW()/1000000,""))</f>
        <v/>
      </c>
    </row>
    <row r="37">
      <c r="B37" s="36" t="n"/>
      <c r="C37" s="35" t="n"/>
      <c r="D37" s="29" t="n"/>
      <c r="E37" s="37">
        <f>IF(OR(B37="",D37=""),"",D37*Sorteo!$C$20)</f>
        <v/>
      </c>
      <c r="F37" s="38" t="n"/>
      <c r="G37" s="27" t="n"/>
      <c r="H37" s="30" t="n"/>
      <c r="I37" s="39">
        <f>IF(E37="","",MAX(0,E37-F37))</f>
        <v/>
      </c>
      <c r="J37" s="14">
        <f>IF(E37="","",IF(F37&gt;=E37,"Pagado",IF(F37&gt;0,"Parcial","Pendiente")))</f>
        <v/>
      </c>
      <c r="K37" s="14">
        <f>IF(J37="","",IF(J37="Pagado","OK",IF(Sorteo!$C$14="","En plazo",IF(TODAY()&gt;Sorteo!$C$14,"Reclamar ya",IF(Sorteo!$C$14-TODAY()&lt;=Sorteo!$C$15,"Recordar","En plazo")))))</f>
        <v/>
      </c>
      <c r="L37" s="39">
        <f>IF(OR(B37="",C37="",D37=""),"",D37*IFERROR(INDEX('Décimos'!$L$6:$L$13,MATCH(C37,'Décimos'!$B$6:$B$13,0)),0))</f>
        <v/>
      </c>
      <c r="M37" s="30" t="n"/>
      <c r="N37" s="36" t="n"/>
      <c r="O37" s="42">
        <f>IF(B37="","",IF(N(I37)&gt;0,I37+ROW()/1000000,""))</f>
        <v/>
      </c>
    </row>
    <row r="38">
      <c r="B38" s="36" t="n"/>
      <c r="C38" s="35" t="n"/>
      <c r="D38" s="29" t="n"/>
      <c r="E38" s="37">
        <f>IF(OR(B38="",D38=""),"",D38*Sorteo!$C$20)</f>
        <v/>
      </c>
      <c r="F38" s="38" t="n"/>
      <c r="G38" s="27" t="n"/>
      <c r="H38" s="30" t="n"/>
      <c r="I38" s="39">
        <f>IF(E38="","",MAX(0,E38-F38))</f>
        <v/>
      </c>
      <c r="J38" s="14">
        <f>IF(E38="","",IF(F38&gt;=E38,"Pagado",IF(F38&gt;0,"Parcial","Pendiente")))</f>
        <v/>
      </c>
      <c r="K38" s="14">
        <f>IF(J38="","",IF(J38="Pagado","OK",IF(Sorteo!$C$14="","En plazo",IF(TODAY()&gt;Sorteo!$C$14,"Reclamar ya",IF(Sorteo!$C$14-TODAY()&lt;=Sorteo!$C$15,"Recordar","En plazo")))))</f>
        <v/>
      </c>
      <c r="L38" s="39">
        <f>IF(OR(B38="",C38="",D38=""),"",D38*IFERROR(INDEX('Décimos'!$L$6:$L$13,MATCH(C38,'Décimos'!$B$6:$B$13,0)),0))</f>
        <v/>
      </c>
      <c r="M38" s="30" t="n"/>
      <c r="N38" s="36" t="n"/>
      <c r="O38" s="42">
        <f>IF(B38="","",IF(N(I38)&gt;0,I38+ROW()/1000000,""))</f>
        <v/>
      </c>
    </row>
    <row r="39">
      <c r="B39" s="36" t="n"/>
      <c r="C39" s="35" t="n"/>
      <c r="D39" s="29" t="n"/>
      <c r="E39" s="37">
        <f>IF(OR(B39="",D39=""),"",D39*Sorteo!$C$20)</f>
        <v/>
      </c>
      <c r="F39" s="38" t="n"/>
      <c r="G39" s="27" t="n"/>
      <c r="H39" s="30" t="n"/>
      <c r="I39" s="39">
        <f>IF(E39="","",MAX(0,E39-F39))</f>
        <v/>
      </c>
      <c r="J39" s="14">
        <f>IF(E39="","",IF(F39&gt;=E39,"Pagado",IF(F39&gt;0,"Parcial","Pendiente")))</f>
        <v/>
      </c>
      <c r="K39" s="14">
        <f>IF(J39="","",IF(J39="Pagado","OK",IF(Sorteo!$C$14="","En plazo",IF(TODAY()&gt;Sorteo!$C$14,"Reclamar ya",IF(Sorteo!$C$14-TODAY()&lt;=Sorteo!$C$15,"Recordar","En plazo")))))</f>
        <v/>
      </c>
      <c r="L39" s="39">
        <f>IF(OR(B39="",C39="",D39=""),"",D39*IFERROR(INDEX('Décimos'!$L$6:$L$13,MATCH(C39,'Décimos'!$B$6:$B$13,0)),0))</f>
        <v/>
      </c>
      <c r="M39" s="30" t="n"/>
      <c r="N39" s="36" t="n"/>
      <c r="O39" s="42">
        <f>IF(B39="","",IF(N(I39)&gt;0,I39+ROW()/1000000,""))</f>
        <v/>
      </c>
    </row>
    <row r="40">
      <c r="B40" s="36" t="n"/>
      <c r="C40" s="35" t="n"/>
      <c r="D40" s="29" t="n"/>
      <c r="E40" s="37">
        <f>IF(OR(B40="",D40=""),"",D40*Sorteo!$C$20)</f>
        <v/>
      </c>
      <c r="F40" s="38" t="n"/>
      <c r="G40" s="27" t="n"/>
      <c r="H40" s="30" t="n"/>
      <c r="I40" s="39">
        <f>IF(E40="","",MAX(0,E40-F40))</f>
        <v/>
      </c>
      <c r="J40" s="14">
        <f>IF(E40="","",IF(F40&gt;=E40,"Pagado",IF(F40&gt;0,"Parcial","Pendiente")))</f>
        <v/>
      </c>
      <c r="K40" s="14">
        <f>IF(J40="","",IF(J40="Pagado","OK",IF(Sorteo!$C$14="","En plazo",IF(TODAY()&gt;Sorteo!$C$14,"Reclamar ya",IF(Sorteo!$C$14-TODAY()&lt;=Sorteo!$C$15,"Recordar","En plazo")))))</f>
        <v/>
      </c>
      <c r="L40" s="39">
        <f>IF(OR(B40="",C40="",D40=""),"",D40*IFERROR(INDEX('Décimos'!$L$6:$L$13,MATCH(C40,'Décimos'!$B$6:$B$13,0)),0))</f>
        <v/>
      </c>
      <c r="M40" s="30" t="n"/>
      <c r="N40" s="36" t="n"/>
      <c r="O40" s="42">
        <f>IF(B40="","",IF(N(I40)&gt;0,I40+ROW()/1000000,""))</f>
        <v/>
      </c>
    </row>
    <row r="41">
      <c r="B41" s="36" t="n"/>
      <c r="C41" s="35" t="n"/>
      <c r="D41" s="29" t="n"/>
      <c r="E41" s="37">
        <f>IF(OR(B41="",D41=""),"",D41*Sorteo!$C$20)</f>
        <v/>
      </c>
      <c r="F41" s="38" t="n"/>
      <c r="G41" s="27" t="n"/>
      <c r="H41" s="30" t="n"/>
      <c r="I41" s="39">
        <f>IF(E41="","",MAX(0,E41-F41))</f>
        <v/>
      </c>
      <c r="J41" s="14">
        <f>IF(E41="","",IF(F41&gt;=E41,"Pagado",IF(F41&gt;0,"Parcial","Pendiente")))</f>
        <v/>
      </c>
      <c r="K41" s="14">
        <f>IF(J41="","",IF(J41="Pagado","OK",IF(Sorteo!$C$14="","En plazo",IF(TODAY()&gt;Sorteo!$C$14,"Reclamar ya",IF(Sorteo!$C$14-TODAY()&lt;=Sorteo!$C$15,"Recordar","En plazo")))))</f>
        <v/>
      </c>
      <c r="L41" s="39">
        <f>IF(OR(B41="",C41="",D41=""),"",D41*IFERROR(INDEX('Décimos'!$L$6:$L$13,MATCH(C41,'Décimos'!$B$6:$B$13,0)),0))</f>
        <v/>
      </c>
      <c r="M41" s="30" t="n"/>
      <c r="N41" s="36" t="n"/>
      <c r="O41" s="42">
        <f>IF(B41="","",IF(N(I41)&gt;0,I41+ROW()/1000000,""))</f>
        <v/>
      </c>
    </row>
    <row r="42">
      <c r="B42" s="36" t="n"/>
      <c r="C42" s="35" t="n"/>
      <c r="D42" s="29" t="n"/>
      <c r="E42" s="37">
        <f>IF(OR(B42="",D42=""),"",D42*Sorteo!$C$20)</f>
        <v/>
      </c>
      <c r="F42" s="38" t="n"/>
      <c r="G42" s="27" t="n"/>
      <c r="H42" s="30" t="n"/>
      <c r="I42" s="39">
        <f>IF(E42="","",MAX(0,E42-F42))</f>
        <v/>
      </c>
      <c r="J42" s="14">
        <f>IF(E42="","",IF(F42&gt;=E42,"Pagado",IF(F42&gt;0,"Parcial","Pendiente")))</f>
        <v/>
      </c>
      <c r="K42" s="14">
        <f>IF(J42="","",IF(J42="Pagado","OK",IF(Sorteo!$C$14="","En plazo",IF(TODAY()&gt;Sorteo!$C$14,"Reclamar ya",IF(Sorteo!$C$14-TODAY()&lt;=Sorteo!$C$15,"Recordar","En plazo")))))</f>
        <v/>
      </c>
      <c r="L42" s="39">
        <f>IF(OR(B42="",C42="",D42=""),"",D42*IFERROR(INDEX('Décimos'!$L$6:$L$13,MATCH(C42,'Décimos'!$B$6:$B$13,0)),0))</f>
        <v/>
      </c>
      <c r="M42" s="30" t="n"/>
      <c r="N42" s="36" t="n"/>
      <c r="O42" s="42">
        <f>IF(B42="","",IF(N(I42)&gt;0,I42+ROW()/1000000,""))</f>
        <v/>
      </c>
    </row>
    <row r="43">
      <c r="B43" s="36" t="n"/>
      <c r="C43" s="35" t="n"/>
      <c r="D43" s="29" t="n"/>
      <c r="E43" s="37">
        <f>IF(OR(B43="",D43=""),"",D43*Sorteo!$C$20)</f>
        <v/>
      </c>
      <c r="F43" s="38" t="n"/>
      <c r="G43" s="27" t="n"/>
      <c r="H43" s="30" t="n"/>
      <c r="I43" s="39">
        <f>IF(E43="","",MAX(0,E43-F43))</f>
        <v/>
      </c>
      <c r="J43" s="14">
        <f>IF(E43="","",IF(F43&gt;=E43,"Pagado",IF(F43&gt;0,"Parcial","Pendiente")))</f>
        <v/>
      </c>
      <c r="K43" s="14">
        <f>IF(J43="","",IF(J43="Pagado","OK",IF(Sorteo!$C$14="","En plazo",IF(TODAY()&gt;Sorteo!$C$14,"Reclamar ya",IF(Sorteo!$C$14-TODAY()&lt;=Sorteo!$C$15,"Recordar","En plazo")))))</f>
        <v/>
      </c>
      <c r="L43" s="39">
        <f>IF(OR(B43="",C43="",D43=""),"",D43*IFERROR(INDEX('Décimos'!$L$6:$L$13,MATCH(C43,'Décimos'!$B$6:$B$13,0)),0))</f>
        <v/>
      </c>
      <c r="M43" s="30" t="n"/>
      <c r="N43" s="36" t="n"/>
      <c r="O43" s="42">
        <f>IF(B43="","",IF(N(I43)&gt;0,I43+ROW()/1000000,""))</f>
        <v/>
      </c>
    </row>
    <row r="44">
      <c r="B44" s="36" t="n"/>
      <c r="C44" s="35" t="n"/>
      <c r="D44" s="29" t="n"/>
      <c r="E44" s="37">
        <f>IF(OR(B44="",D44=""),"",D44*Sorteo!$C$20)</f>
        <v/>
      </c>
      <c r="F44" s="38" t="n"/>
      <c r="G44" s="27" t="n"/>
      <c r="H44" s="30" t="n"/>
      <c r="I44" s="39">
        <f>IF(E44="","",MAX(0,E44-F44))</f>
        <v/>
      </c>
      <c r="J44" s="14">
        <f>IF(E44="","",IF(F44&gt;=E44,"Pagado",IF(F44&gt;0,"Parcial","Pendiente")))</f>
        <v/>
      </c>
      <c r="K44" s="14">
        <f>IF(J44="","",IF(J44="Pagado","OK",IF(Sorteo!$C$14="","En plazo",IF(TODAY()&gt;Sorteo!$C$14,"Reclamar ya",IF(Sorteo!$C$14-TODAY()&lt;=Sorteo!$C$15,"Recordar","En plazo")))))</f>
        <v/>
      </c>
      <c r="L44" s="39">
        <f>IF(OR(B44="",C44="",D44=""),"",D44*IFERROR(INDEX('Décimos'!$L$6:$L$13,MATCH(C44,'Décimos'!$B$6:$B$13,0)),0))</f>
        <v/>
      </c>
      <c r="M44" s="30" t="n"/>
      <c r="N44" s="36" t="n"/>
      <c r="O44" s="42">
        <f>IF(B44="","",IF(N(I44)&gt;0,I44+ROW()/1000000,""))</f>
        <v/>
      </c>
    </row>
    <row r="45">
      <c r="B45" s="36" t="n"/>
      <c r="C45" s="35" t="n"/>
      <c r="D45" s="29" t="n"/>
      <c r="E45" s="37">
        <f>IF(OR(B45="",D45=""),"",D45*Sorteo!$C$20)</f>
        <v/>
      </c>
      <c r="F45" s="38" t="n"/>
      <c r="G45" s="27" t="n"/>
      <c r="H45" s="30" t="n"/>
      <c r="I45" s="39">
        <f>IF(E45="","",MAX(0,E45-F45))</f>
        <v/>
      </c>
      <c r="J45" s="14">
        <f>IF(E45="","",IF(F45&gt;=E45,"Pagado",IF(F45&gt;0,"Parcial","Pendiente")))</f>
        <v/>
      </c>
      <c r="K45" s="14">
        <f>IF(J45="","",IF(J45="Pagado","OK",IF(Sorteo!$C$14="","En plazo",IF(TODAY()&gt;Sorteo!$C$14,"Reclamar ya",IF(Sorteo!$C$14-TODAY()&lt;=Sorteo!$C$15,"Recordar","En plazo")))))</f>
        <v/>
      </c>
      <c r="L45" s="39">
        <f>IF(OR(B45="",C45="",D45=""),"",D45*IFERROR(INDEX('Décimos'!$L$6:$L$13,MATCH(C45,'Décimos'!$B$6:$B$13,0)),0))</f>
        <v/>
      </c>
      <c r="M45" s="30" t="n"/>
      <c r="N45" s="36" t="n"/>
      <c r="O45" s="42">
        <f>IF(B45="","",IF(N(I45)&gt;0,I45+ROW()/1000000,""))</f>
        <v/>
      </c>
    </row>
    <row r="46">
      <c r="B46" s="21" t="inlineStr">
        <is>
          <t>Totales</t>
        </is>
      </c>
      <c r="C46" s="21" t="inlineStr"/>
      <c r="D46" s="22">
        <f>SUM(D6:D45)</f>
        <v/>
      </c>
      <c r="E46" s="23">
        <f>SUM(E6:E45)</f>
        <v/>
      </c>
      <c r="F46" s="23">
        <f>SUM(F6:F45)</f>
        <v/>
      </c>
      <c r="G46" s="21" t="inlineStr"/>
      <c r="H46" s="21" t="inlineStr"/>
      <c r="I46" s="23">
        <f>SUM(I6:I45)</f>
        <v/>
      </c>
      <c r="J46" s="21" t="inlineStr"/>
      <c r="K46" s="21" t="inlineStr"/>
      <c r="L46" s="23">
        <f>SUM(L6:L45)</f>
        <v/>
      </c>
      <c r="M46" s="21" t="inlineStr"/>
      <c r="N46" s="21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J6:J45">
    <cfRule type="cellIs" priority="1" operator="equal" dxfId="2">
      <formula>"Pagado"</formula>
    </cfRule>
    <cfRule type="cellIs" priority="2" operator="equal" dxfId="1">
      <formula>"Parcial"</formula>
    </cfRule>
    <cfRule type="cellIs" priority="3" operator="equal" dxfId="0">
      <formula>"Pendiente"</formula>
    </cfRule>
  </conditionalFormatting>
  <conditionalFormatting sqref="K6:K45">
    <cfRule type="cellIs" priority="4" operator="equal" dxfId="0">
      <formula>"Reclamar ya"</formula>
    </cfRule>
    <cfRule type="cellIs" priority="5" operator="equal" dxfId="1">
      <formula>"Recordar"</formula>
    </cfRule>
  </conditionalFormatting>
  <conditionalFormatting sqref="L6:L45">
    <cfRule type="expression" priority="6" dxfId="2">
      <formula>AND(ISNUMBER($L6),$L6&gt;0,$M6&lt;&gt;"Sí")</formula>
    </cfRule>
  </conditionalFormatting>
  <conditionalFormatting sqref="F6:F45">
    <cfRule type="dataBar" priority="7">
      <dataBar>
        <cfvo type="num" val="0"/>
        <cfvo type="max"/>
        <color rgb="0010B981"/>
      </dataBar>
    </cfRule>
  </conditionalFormatting>
  <dataValidations count="6">
    <dataValidation sqref="C6:C45" showDropDown="0" showInputMessage="0" showErrorMessage="0" allowBlank="1" type="list">
      <formula1>='Décimos'!$B$6:$B$13</formula1>
    </dataValidation>
    <dataValidation sqref="H6:H45" showDropDown="0" showInputMessage="0" showErrorMessage="0" allowBlank="1" type="list">
      <formula1>=Listas!$A$2:$A$5</formula1>
    </dataValidation>
    <dataValidation sqref="M6:M45" showDropDown="0" showInputMessage="0" showErrorMessage="0" allowBlank="1" type="list">
      <formula1>=Listas!$B$2:$B$3</formula1>
    </dataValidation>
    <dataValidation sqref="F6:F45" showDropDown="0" showInputMessage="0" showErrorMessage="1" allowBlank="1" errorTitle="Importe" error="Escribe un importe igual o mayor que 0." type="decimal" operator="greaterThanOrEqual">
      <formula1>0</formula1>
    </dataValidation>
    <dataValidation sqref="D6:D45" showDropDown="0" showInputMessage="0" showErrorMessage="1" allowBlank="1" errorTitle="Participaciones" error="Escribe un número entero de 1 o más." type="whole" operator="greaterThanOrEqual">
      <formula1>1</formula1>
    </dataValidation>
    <dataValidation sqref="G6:G45" showDropDown="0" showInputMessage="0" showErrorMessage="1" allowBlank="1" errorTitle="Fecha" error="Escribe una fecha válida, por ejemplo 15/10/2026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Participaciones de lotería de Navidad · Cómo usarlas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43" t="inlineStr">
        <is>
          <t>1.  Empieza por la hoja «Sorteo»: escribe el nombre de la peña, el precio del décimo (C9), en cuántas participaciones lo repartes (C10) y el recargo solidario (C11), con Sí o No en C12.</t>
        </is>
      </c>
    </row>
    <row r="7" ht="30" customHeight="1">
      <c r="B7" s="43" t="inlineStr">
        <is>
          <t>2.  La plantilla calcula sola el precio total por participación (C20 de «Sorteo»): precio base más recargo.</t>
        </is>
      </c>
    </row>
    <row r="8" ht="30" customHeight="1">
      <c r="B8" s="43" t="inlineStr">
        <is>
          <t>3.  En «Décimos» apunta una fila por número comprado: el número (5 cifras, como texto), de dónde viene y cuántos décimos tienes. Hay hueco para 8 números.</t>
        </is>
      </c>
    </row>
    <row r="9" ht="30" customHeight="1">
      <c r="B9" s="43" t="inlineStr">
        <is>
          <t>4.  En «Participaciones» escribe el nombre de cada persona, elige su número en el desplegable y anota cuántas participaciones se lleva. Hay filas preparadas para 40 personas.</t>
        </is>
      </c>
    </row>
    <row r="10" ht="30" customHeight="1">
      <c r="B10" s="43" t="inlineStr">
        <is>
          <t>5.  Cuando alguien pague, anota el importe en «Pagado», la fecha y el método. El estado cambia solo a Pagado, Parcial o Pendiente, y «Recordatorio» marca «Recordar» o «Reclamar ya» según la fecha límite.</t>
        </is>
      </c>
    </row>
    <row r="11" ht="30" customHeight="1">
      <c r="B11" s="43" t="inlineStr">
        <is>
          <t>6.  Vigila la columna «Disponibles» de «Décimos»: si sale en rojo (negativa), has asignado más participaciones de las que emite ese número.</t>
        </is>
      </c>
    </row>
    <row r="12" ht="30" customHeight="1">
      <c r="B12" s="43" t="inlineStr">
        <is>
          <t>7.  Después del sorteo, comprueba tus números en una fuente oficial y escribe en «Décimos» el premio por décimo (I). Pon 0 si no hay premio; déjalo vacío mientras no lo sepas.</t>
        </is>
      </c>
    </row>
    <row r="13" ht="30" customHeight="1">
      <c r="B13" s="43" t="inlineStr">
        <is>
          <t>8.  La columna «Premio que le corresponde» de «Participaciones» se rellena sola. Marca «¿Premio entregado?» cuando hayas pagado a cada persona. El «Panel» resume todo.</t>
        </is>
      </c>
    </row>
    <row r="15">
      <c r="B15" s="9" t="inlineStr">
        <is>
          <t>CONSEJOS</t>
        </is>
      </c>
    </row>
    <row r="16" ht="18" customHeight="1">
      <c r="B16" s="43" t="inlineStr">
        <is>
          <t>•  Los nombres, números, importes y fechas de ejemplo son ficticios. Bórralos y escribe los tuyos.</t>
        </is>
      </c>
    </row>
    <row r="17" ht="30" customHeight="1">
      <c r="B17" s="43" t="inlineStr">
        <is>
          <t>•  Todos los importes (precio del décimo, recargo, descuento sobre el premio, premio por décimo) son parámetros editables que introduces tú: la plantilla no incluye cifras oficiales de premios ni de impuestos.</t>
        </is>
      </c>
    </row>
    <row r="18" ht="30" customHeight="1">
      <c r="B18" s="43" t="inlineStr">
        <is>
          <t>•  Si cambias el precio, las participaciones por décimo o el recargo, todos los importes a pagar y los premios se recalculan.</t>
        </is>
      </c>
    </row>
    <row r="19" ht="30" customHeight="1">
      <c r="B19" s="43" t="inlineStr">
        <is>
          <t>•  La hoja «Participaciones» tiene una columna O oculta que usa el Panel para ordenar las deudas: no la borres.</t>
        </is>
      </c>
    </row>
    <row r="20" ht="30" customHeight="1">
      <c r="B20" s="43" t="inlineStr">
        <is>
          <t>•  El «Panel» muestra hasta 8 números y las 10 deudas mayores; el resto sigue contando en los totales.</t>
        </is>
      </c>
    </row>
    <row r="21" ht="30" customHeight="1">
      <c r="B21" s="43" t="inlineStr">
        <is>
          <t>•  Las hojas están protegidas sin contraseña para no romper fórmulas: desprotege la hoja (no tiene contraseña) si quieres modificar algo.</t>
        </is>
      </c>
    </row>
    <row r="23">
      <c r="B23" s="32" t="inlineStr">
        <is>
          <t>Las celdas con fondo crema y texto azul son para rellenar; las verdes se calculan solas.</t>
        </is>
      </c>
    </row>
    <row r="25" ht="44" customHeight="1">
      <c r="B25" s="44" t="inlineStr">
        <is>
          <t>Aviso: uso lúdico y organizativo para llevar la cuenta de una peña entre personas de confianza. Esta plantilla no vende ni gestiona lotería, no custodia dinero y no ofrece asesoramiento fiscal ni legal: consulta siempre los resultados y las normas oficiales. Juega con responsabilidad.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Método</t>
        </is>
      </c>
      <c r="B1" t="inlineStr">
        <is>
          <t>Sí/No</t>
        </is>
      </c>
    </row>
    <row r="2">
      <c r="A2" t="inlineStr">
        <is>
          <t>Bizum</t>
        </is>
      </c>
      <c r="B2" t="inlineStr">
        <is>
          <t>Sí</t>
        </is>
      </c>
    </row>
    <row r="3">
      <c r="A3" t="inlineStr">
        <is>
          <t>Efectivo</t>
        </is>
      </c>
      <c r="B3" t="inlineStr">
        <is>
          <t>No</t>
        </is>
      </c>
    </row>
    <row r="4">
      <c r="A4" t="inlineStr">
        <is>
          <t>Transferencia</t>
        </is>
      </c>
    </row>
    <row r="5">
      <c r="A5" t="inlineStr">
        <is>
          <t>Otro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2026-10-06T12:11:14Z</dcterms:created>
  <dcterms:modified xmlns:dcterms="http://purl.org/dc/terms/" xmlns:xsi="http://www.w3.org/2001/XMLSchema-instance" xsi:type="dcterms:W3CDTF">2026-10-06T12:11:14Z</dcterms:modified>
</cp:coreProperties>
</file>