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Plan semanal" sheetId="3" state="visible" r:id="rId3"/>
    <sheet xmlns:r="http://schemas.openxmlformats.org/officeDocument/2006/relationships" name="Objetivo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yyyy-mm-dd"/>
    <numFmt numFmtId="166" formatCode="0.0"/>
    <numFmt numFmtId="167" formatCode="0;-0;&quot;-&quot;"/>
    <numFmt numFmtId="168" formatCode="dd/mm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6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1" fontId="4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 wrapText="1"/>
    </xf>
    <xf numFmtId="9" fontId="4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168" fontId="7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3" fontId="10" fillId="5" borderId="1" applyAlignment="1" pivotButton="0" quotePrefix="0" xfId="0">
      <alignment vertical="center"/>
    </xf>
    <xf numFmtId="166" fontId="10" fillId="5" borderId="1" applyAlignment="1" pivotButton="0" quotePrefix="0" xfId="0">
      <alignment vertical="center"/>
    </xf>
    <xf numFmtId="9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6" fillId="4" borderId="1" applyAlignment="1" applyProtection="1" pivotButton="0" quotePrefix="0" xfId="0">
      <alignment horizontal="center" vertical="center"/>
      <protection locked="0" hidden="0"/>
    </xf>
    <xf numFmtId="1" fontId="6" fillId="4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applyProtection="1" pivotButton="0" quotePrefix="0" xfId="0">
      <alignment vertical="center"/>
      <protection locked="0" hidden="0"/>
    </xf>
    <xf numFmtId="2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horizontal="right" vertical="center"/>
    </xf>
    <xf numFmtId="0" fontId="6" fillId="4" borderId="1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164" fontId="4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7" fontId="6" fillId="4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1" applyAlignment="1" pivotButton="0" quotePrefix="0" xfId="0">
      <alignment horizontal="center" vertical="center"/>
    </xf>
    <xf numFmtId="3" fontId="6" fillId="4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acumuladas por destreza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'Panel'!$B$20:$B$25</f>
            </numRef>
          </cat>
          <val>
            <numRef>
              <f>'Panel'!$D$20:$D$25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por semana frente a la meta</a:t>
            </a:r>
          </a:p>
        </rich>
      </tx>
    </title>
    <plotArea>
      <lineChart>
        <grouping val="standard"/>
        <ser>
          <idx val="0"/>
          <order val="0"/>
          <tx>
            <strRef>
              <f>'Panel'!K11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'Panel'!$J$12:$J$19</f>
            </numRef>
          </cat>
          <val>
            <numRef>
              <f>'Panel'!$K$12:$K$19</f>
            </numRef>
          </val>
        </ser>
        <ser>
          <idx val="1"/>
          <order val="1"/>
          <tx>
            <strRef>
              <f>'Panel'!L11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'Panel'!$J$12:$J$19</f>
            </numRef>
          </cat>
          <val>
            <numRef>
              <f>'Panel'!$L$12:$L$19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3" customWidth="1" min="3" max="3"/>
    <col width="13" customWidth="1" min="4" max="4"/>
    <col width="13" customWidth="1" min="5" max="5"/>
    <col width="14" customWidth="1" min="6" max="6"/>
    <col width="13" customWidth="1" min="7" max="7"/>
    <col width="16" customWidth="1" min="8" max="8"/>
    <col width="3" customWidth="1" min="9" max="9"/>
    <col width="14" customWidth="1" min="10" max="10"/>
    <col width="11" customWidth="1" min="11" max="11"/>
    <col width="11" customWidth="1" min="12" max="12"/>
  </cols>
  <sheetData>
    <row r="2" ht="34" customHeight="1">
      <c r="B2" s="1" t="inlineStr">
        <is>
          <t>Panel de estudio de idiomas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Horas, racha, cumplimiento del plan y progreso hacia tu nivel objetivo, todo en una hoja.</t>
        </is>
      </c>
    </row>
    <row r="5" ht="24" customHeight="1">
      <c r="B5" s="4" t="inlineStr">
        <is>
          <t>HORAS TOTALES</t>
        </is>
      </c>
      <c r="C5" s="4" t="inlineStr">
        <is>
          <t>HORAS DE LA SEMANA</t>
        </is>
      </c>
      <c r="E5" s="4" t="inlineStr">
        <is>
          <t>RACHA ACTUAL (DÍAS)</t>
        </is>
      </c>
      <c r="G5" s="4" t="inlineStr">
        <is>
          <t>CUMPLIMIENTO DEL PLAN</t>
        </is>
      </c>
    </row>
    <row r="6" ht="36" customHeight="1">
      <c r="B6" s="5">
        <f>SUM(Registro!H8:H47)</f>
        <v/>
      </c>
      <c r="C6" s="5">
        <f>'Plan semanal'!K15/60</f>
        <v/>
      </c>
      <c r="E6" s="6">
        <f>Registro!S8</f>
        <v/>
      </c>
      <c r="G6" s="7">
        <f>IF('Plan semanal'!J15=0,0,'Plan semanal'!L15)</f>
        <v/>
      </c>
    </row>
    <row r="8" ht="30" customHeight="1">
      <c r="B8" s="8" t="inlineStr">
        <is>
          <t>Mejor racha (días):</t>
        </is>
      </c>
      <c r="C8" s="9">
        <f>Registro!S9</f>
        <v/>
      </c>
      <c r="D8" s="10" t="inlineStr">
        <is>
          <t>Días estudiados (de 60):</t>
        </is>
      </c>
      <c r="E8" s="9">
        <f>Registro!S10</f>
        <v/>
      </c>
      <c r="F8" s="10" t="inlineStr">
        <is>
          <t>Progreso medio hacia objetivo:</t>
        </is>
      </c>
      <c r="G8" s="11">
        <f>IFERROR(AVERAGE(Objetivos!I8:I12),0)</f>
        <v/>
      </c>
    </row>
    <row r="10">
      <c r="B10" s="12" t="inlineStr">
        <is>
          <t>PROGRESO POR IDIOMA</t>
        </is>
      </c>
      <c r="J10" s="12" t="inlineStr">
        <is>
          <t>ÚLTIMAS 8 SEMANAS</t>
        </is>
      </c>
    </row>
    <row r="11" ht="32" customHeight="1">
      <c r="B11" s="13" t="inlineStr">
        <is>
          <t>Idioma</t>
        </is>
      </c>
      <c r="C11" s="13" t="inlineStr">
        <is>
          <t>Nivel actual</t>
        </is>
      </c>
      <c r="D11" s="13" t="inlineStr">
        <is>
          <t>Objetivo</t>
        </is>
      </c>
      <c r="E11" s="13" t="inlineStr">
        <is>
          <t>Horas registradas</t>
        </is>
      </c>
      <c r="F11" s="13" t="inlineStr">
        <is>
          <t>Horas necesarias</t>
        </is>
      </c>
      <c r="G11" s="13" t="inlineStr">
        <is>
          <t>Progreso</t>
        </is>
      </c>
      <c r="H11" s="13" t="inlineStr">
        <is>
          <t>Situación</t>
        </is>
      </c>
      <c r="J11" s="13" t="inlineStr">
        <is>
          <t>Semana (lunes)</t>
        </is>
      </c>
      <c r="K11" s="13" t="inlineStr">
        <is>
          <t>Horas</t>
        </is>
      </c>
      <c r="L11" s="13" t="inlineStr">
        <is>
          <t>Meta (h)</t>
        </is>
      </c>
    </row>
    <row r="12">
      <c r="B12" s="14">
        <f>IF(Objetivos!B8="","",Objetivos!B8)</f>
        <v/>
      </c>
      <c r="C12" s="15">
        <f>IF(Objetivos!B8="","",Objetivos!C8)</f>
        <v/>
      </c>
      <c r="D12" s="15">
        <f>IF(Objetivos!B8="","",Objetivos!D8)</f>
        <v/>
      </c>
      <c r="E12" s="16">
        <f>IF(Objetivos!B8="","",Objetivos!H8)</f>
        <v/>
      </c>
      <c r="F12" s="17">
        <f>IF(Objetivos!B8="","",Objetivos!G8)</f>
        <v/>
      </c>
      <c r="G12" s="11">
        <f>IF(Objetivos!B8="","",Objetivos!I8)</f>
        <v/>
      </c>
      <c r="H12" s="15">
        <f>IF(Objetivos!B8="","",Objetivos!N8)</f>
        <v/>
      </c>
      <c r="J12" s="18">
        <f>'Plan semanal'!$J$5-49</f>
        <v/>
      </c>
      <c r="K12" s="16">
        <f>SUMIFS(Registro!$H$8:$H$47,Registro!$B$8:$B$47,"&gt;="&amp;J12,Registro!$B$8:$B$47,"&lt;="&amp;J12+6)</f>
        <v/>
      </c>
      <c r="L12" s="16">
        <f>'Plan semanal'!$J$15/60</f>
        <v/>
      </c>
    </row>
    <row r="13">
      <c r="B13" s="14">
        <f>IF(Objetivos!B9="","",Objetivos!B9)</f>
        <v/>
      </c>
      <c r="C13" s="15">
        <f>IF(Objetivos!B9="","",Objetivos!C9)</f>
        <v/>
      </c>
      <c r="D13" s="15">
        <f>IF(Objetivos!B9="","",Objetivos!D9)</f>
        <v/>
      </c>
      <c r="E13" s="16">
        <f>IF(Objetivos!B9="","",Objetivos!H9)</f>
        <v/>
      </c>
      <c r="F13" s="17">
        <f>IF(Objetivos!B9="","",Objetivos!G9)</f>
        <v/>
      </c>
      <c r="G13" s="11">
        <f>IF(Objetivos!B9="","",Objetivos!I9)</f>
        <v/>
      </c>
      <c r="H13" s="15">
        <f>IF(Objetivos!B9="","",Objetivos!N9)</f>
        <v/>
      </c>
      <c r="J13" s="18">
        <f>'Plan semanal'!$J$5-42</f>
        <v/>
      </c>
      <c r="K13" s="16">
        <f>SUMIFS(Registro!$H$8:$H$47,Registro!$B$8:$B$47,"&gt;="&amp;J13,Registro!$B$8:$B$47,"&lt;="&amp;J13+6)</f>
        <v/>
      </c>
      <c r="L13" s="16">
        <f>'Plan semanal'!$J$15/60</f>
        <v/>
      </c>
    </row>
    <row r="14">
      <c r="B14" s="14">
        <f>IF(Objetivos!B10="","",Objetivos!B10)</f>
        <v/>
      </c>
      <c r="C14" s="15">
        <f>IF(Objetivos!B10="","",Objetivos!C10)</f>
        <v/>
      </c>
      <c r="D14" s="15">
        <f>IF(Objetivos!B10="","",Objetivos!D10)</f>
        <v/>
      </c>
      <c r="E14" s="16">
        <f>IF(Objetivos!B10="","",Objetivos!H10)</f>
        <v/>
      </c>
      <c r="F14" s="17">
        <f>IF(Objetivos!B10="","",Objetivos!G10)</f>
        <v/>
      </c>
      <c r="G14" s="11">
        <f>IF(Objetivos!B10="","",Objetivos!I10)</f>
        <v/>
      </c>
      <c r="H14" s="15">
        <f>IF(Objetivos!B10="","",Objetivos!N10)</f>
        <v/>
      </c>
      <c r="J14" s="18">
        <f>'Plan semanal'!$J$5-35</f>
        <v/>
      </c>
      <c r="K14" s="16">
        <f>SUMIFS(Registro!$H$8:$H$47,Registro!$B$8:$B$47,"&gt;="&amp;J14,Registro!$B$8:$B$47,"&lt;="&amp;J14+6)</f>
        <v/>
      </c>
      <c r="L14" s="16">
        <f>'Plan semanal'!$J$15/60</f>
        <v/>
      </c>
    </row>
    <row r="15">
      <c r="B15" s="14">
        <f>IF(Objetivos!B11="","",Objetivos!B11)</f>
        <v/>
      </c>
      <c r="C15" s="15">
        <f>IF(Objetivos!B11="","",Objetivos!C11)</f>
        <v/>
      </c>
      <c r="D15" s="15">
        <f>IF(Objetivos!B11="","",Objetivos!D11)</f>
        <v/>
      </c>
      <c r="E15" s="16">
        <f>IF(Objetivos!B11="","",Objetivos!H11)</f>
        <v/>
      </c>
      <c r="F15" s="17">
        <f>IF(Objetivos!B11="","",Objetivos!G11)</f>
        <v/>
      </c>
      <c r="G15" s="11">
        <f>IF(Objetivos!B11="","",Objetivos!I11)</f>
        <v/>
      </c>
      <c r="H15" s="15">
        <f>IF(Objetivos!B11="","",Objetivos!N11)</f>
        <v/>
      </c>
      <c r="J15" s="18">
        <f>'Plan semanal'!$J$5-28</f>
        <v/>
      </c>
      <c r="K15" s="16">
        <f>SUMIFS(Registro!$H$8:$H$47,Registro!$B$8:$B$47,"&gt;="&amp;J15,Registro!$B$8:$B$47,"&lt;="&amp;J15+6)</f>
        <v/>
      </c>
      <c r="L15" s="16">
        <f>'Plan semanal'!$J$15/60</f>
        <v/>
      </c>
    </row>
    <row r="16">
      <c r="B16" s="14">
        <f>IF(Objetivos!B12="","",Objetivos!B12)</f>
        <v/>
      </c>
      <c r="C16" s="15">
        <f>IF(Objetivos!B12="","",Objetivos!C12)</f>
        <v/>
      </c>
      <c r="D16" s="15">
        <f>IF(Objetivos!B12="","",Objetivos!D12)</f>
        <v/>
      </c>
      <c r="E16" s="16">
        <f>IF(Objetivos!B12="","",Objetivos!H12)</f>
        <v/>
      </c>
      <c r="F16" s="17">
        <f>IF(Objetivos!B12="","",Objetivos!G12)</f>
        <v/>
      </c>
      <c r="G16" s="11">
        <f>IF(Objetivos!B12="","",Objetivos!I12)</f>
        <v/>
      </c>
      <c r="H16" s="15">
        <f>IF(Objetivos!B12="","",Objetivos!N12)</f>
        <v/>
      </c>
      <c r="J16" s="18">
        <f>'Plan semanal'!$J$5-21</f>
        <v/>
      </c>
      <c r="K16" s="16">
        <f>SUMIFS(Registro!$H$8:$H$47,Registro!$B$8:$B$47,"&gt;="&amp;J16,Registro!$B$8:$B$47,"&lt;="&amp;J16+6)</f>
        <v/>
      </c>
      <c r="L16" s="16">
        <f>'Plan semanal'!$J$15/60</f>
        <v/>
      </c>
    </row>
    <row r="17">
      <c r="J17" s="18">
        <f>'Plan semanal'!$J$5-14</f>
        <v/>
      </c>
      <c r="K17" s="16">
        <f>SUMIFS(Registro!$H$8:$H$47,Registro!$B$8:$B$47,"&gt;="&amp;J17,Registro!$B$8:$B$47,"&lt;="&amp;J17+6)</f>
        <v/>
      </c>
      <c r="L17" s="16">
        <f>'Plan semanal'!$J$15/60</f>
        <v/>
      </c>
    </row>
    <row r="18">
      <c r="B18" s="12" t="inlineStr">
        <is>
          <t>HORAS POR DESTREZA (TODOS LOS IDIOMAS)</t>
        </is>
      </c>
      <c r="J18" s="18">
        <f>'Plan semanal'!$J$5-7</f>
        <v/>
      </c>
      <c r="K18" s="16">
        <f>SUMIFS(Registro!$H$8:$H$47,Registro!$B$8:$B$47,"&gt;="&amp;J18,Registro!$B$8:$B$47,"&lt;="&amp;J18+6)</f>
        <v/>
      </c>
      <c r="L18" s="16">
        <f>'Plan semanal'!$J$15/60</f>
        <v/>
      </c>
    </row>
    <row r="19" ht="32" customHeight="1">
      <c r="B19" s="13" t="inlineStr">
        <is>
          <t>Destreza</t>
        </is>
      </c>
      <c r="C19" s="13" t="inlineStr">
        <is>
          <t>Minutos</t>
        </is>
      </c>
      <c r="D19" s="13" t="inlineStr">
        <is>
          <t>Horas</t>
        </is>
      </c>
      <c r="E19" s="13" t="inlineStr">
        <is>
          <t>% del total</t>
        </is>
      </c>
      <c r="F19" s="13" t="inlineStr">
        <is>
          <t>Plan semanal (min)</t>
        </is>
      </c>
      <c r="G19" s="13" t="inlineStr">
        <is>
          <t>Real semana (min)</t>
        </is>
      </c>
      <c r="H19" s="13" t="inlineStr">
        <is>
          <t>Cumplimiento</t>
        </is>
      </c>
      <c r="J19" s="18">
        <f>'Plan semanal'!$J$5-0</f>
        <v/>
      </c>
      <c r="K19" s="16">
        <f>SUMIFS(Registro!$H$8:$H$47,Registro!$B$8:$B$47,"&gt;="&amp;J19,Registro!$B$8:$B$47,"&lt;="&amp;J19+6)</f>
        <v/>
      </c>
      <c r="L19" s="16">
        <f>'Plan semanal'!$J$15/60</f>
        <v/>
      </c>
    </row>
    <row r="20">
      <c r="B20" s="14">
        <f>'Plan semanal'!B9</f>
        <v/>
      </c>
      <c r="C20" s="19">
        <f>SUMIF(Registro!$D$8:$D$47,B20,Registro!$E$8:$E$47)</f>
        <v/>
      </c>
      <c r="D20" s="16">
        <f>C20/60</f>
        <v/>
      </c>
      <c r="E20" s="20">
        <f>IF($C$26=0,0,C20/$C$26)</f>
        <v/>
      </c>
      <c r="F20" s="17">
        <f>'Plan semanal'!J9</f>
        <v/>
      </c>
      <c r="G20" s="17">
        <f>'Plan semanal'!K9</f>
        <v/>
      </c>
      <c r="H20" s="20">
        <f>IF(F20=0,"",G20/F20)</f>
        <v/>
      </c>
    </row>
    <row r="21">
      <c r="B21" s="14">
        <f>'Plan semanal'!B10</f>
        <v/>
      </c>
      <c r="C21" s="19">
        <f>SUMIF(Registro!$D$8:$D$47,B21,Registro!$E$8:$E$47)</f>
        <v/>
      </c>
      <c r="D21" s="16">
        <f>C21/60</f>
        <v/>
      </c>
      <c r="E21" s="20">
        <f>IF($C$26=0,0,C21/$C$26)</f>
        <v/>
      </c>
      <c r="F21" s="17">
        <f>'Plan semanal'!J10</f>
        <v/>
      </c>
      <c r="G21" s="17">
        <f>'Plan semanal'!K10</f>
        <v/>
      </c>
      <c r="H21" s="20">
        <f>IF(F21=0,"",G21/F21)</f>
        <v/>
      </c>
    </row>
    <row r="22">
      <c r="B22" s="14">
        <f>'Plan semanal'!B11</f>
        <v/>
      </c>
      <c r="C22" s="19">
        <f>SUMIF(Registro!$D$8:$D$47,B22,Registro!$E$8:$E$47)</f>
        <v/>
      </c>
      <c r="D22" s="16">
        <f>C22/60</f>
        <v/>
      </c>
      <c r="E22" s="20">
        <f>IF($C$26=0,0,C22/$C$26)</f>
        <v/>
      </c>
      <c r="F22" s="17">
        <f>'Plan semanal'!J11</f>
        <v/>
      </c>
      <c r="G22" s="17">
        <f>'Plan semanal'!K11</f>
        <v/>
      </c>
      <c r="H22" s="20">
        <f>IF(F22=0,"",G22/F22)</f>
        <v/>
      </c>
    </row>
    <row r="23">
      <c r="B23" s="14">
        <f>'Plan semanal'!B12</f>
        <v/>
      </c>
      <c r="C23" s="19">
        <f>SUMIF(Registro!$D$8:$D$47,B23,Registro!$E$8:$E$47)</f>
        <v/>
      </c>
      <c r="D23" s="16">
        <f>C23/60</f>
        <v/>
      </c>
      <c r="E23" s="20">
        <f>IF($C$26=0,0,C23/$C$26)</f>
        <v/>
      </c>
      <c r="F23" s="17">
        <f>'Plan semanal'!J12</f>
        <v/>
      </c>
      <c r="G23" s="17">
        <f>'Plan semanal'!K12</f>
        <v/>
      </c>
      <c r="H23" s="20">
        <f>IF(F23=0,"",G23/F23)</f>
        <v/>
      </c>
    </row>
    <row r="24">
      <c r="B24" s="14">
        <f>'Plan semanal'!B13</f>
        <v/>
      </c>
      <c r="C24" s="19">
        <f>SUMIF(Registro!$D$8:$D$47,B24,Registro!$E$8:$E$47)</f>
        <v/>
      </c>
      <c r="D24" s="16">
        <f>C24/60</f>
        <v/>
      </c>
      <c r="E24" s="20">
        <f>IF($C$26=0,0,C24/$C$26)</f>
        <v/>
      </c>
      <c r="F24" s="17">
        <f>'Plan semanal'!J13</f>
        <v/>
      </c>
      <c r="G24" s="17">
        <f>'Plan semanal'!K13</f>
        <v/>
      </c>
      <c r="H24" s="20">
        <f>IF(F24=0,"",G24/F24)</f>
        <v/>
      </c>
    </row>
    <row r="25">
      <c r="B25" s="14">
        <f>'Plan semanal'!B14</f>
        <v/>
      </c>
      <c r="C25" s="19">
        <f>SUMIF(Registro!$D$8:$D$47,B25,Registro!$E$8:$E$47)</f>
        <v/>
      </c>
      <c r="D25" s="16">
        <f>C25/60</f>
        <v/>
      </c>
      <c r="E25" s="20">
        <f>IF($C$26=0,0,C25/$C$26)</f>
        <v/>
      </c>
      <c r="F25" s="17">
        <f>'Plan semanal'!J14</f>
        <v/>
      </c>
      <c r="G25" s="17">
        <f>'Plan semanal'!K14</f>
        <v/>
      </c>
      <c r="H25" s="20">
        <f>IF(F25=0,"",G25/F25)</f>
        <v/>
      </c>
    </row>
    <row r="26">
      <c r="B26" s="21" t="inlineStr">
        <is>
          <t>Total</t>
        </is>
      </c>
      <c r="C26" s="22">
        <f>SUM(C20:C25)</f>
        <v/>
      </c>
      <c r="D26" s="23">
        <f>SUM(D20:D25)</f>
        <v/>
      </c>
      <c r="E26" s="24">
        <f>SUM(E20:E25)</f>
        <v/>
      </c>
      <c r="F26" s="25">
        <f>SUM(F20:F25)</f>
        <v/>
      </c>
      <c r="G26" s="25">
        <f>SUM(G20:G25)</f>
        <v/>
      </c>
      <c r="H26" s="24">
        <f>IF(F26=0,"",G26/F26)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8">
    <mergeCell ref="E6:F6"/>
    <mergeCell ref="C6:D6"/>
    <mergeCell ref="C5:D5"/>
    <mergeCell ref="G5:H5"/>
    <mergeCell ref="E5:F5"/>
    <mergeCell ref="B2:H2"/>
    <mergeCell ref="G6:H6"/>
    <mergeCell ref="B3:H3"/>
  </mergeCells>
  <conditionalFormatting sqref="H12:H16">
    <cfRule type="cellIs" priority="1" operator="equal" dxfId="0">
      <formula>"En ritmo"</formula>
    </cfRule>
    <cfRule type="cellIs" priority="2" operator="equal" dxfId="0">
      <formula>"Objetivo logrado"</formula>
    </cfRule>
    <cfRule type="cellIs" priority="3" operator="equal" dxfId="1">
      <formula>"Por debajo"</formula>
    </cfRule>
    <cfRule type="cellIs" priority="4" operator="equal" dxfId="2">
      <formula>"Fuera de plazo"</formula>
    </cfRule>
  </conditionalFormatting>
  <conditionalFormatting sqref="G12:G16">
    <cfRule type="dataBar" priority="5">
      <dataBar>
        <cfvo type="num" val="0"/>
        <cfvo type="max"/>
        <color rgb="0010B981"/>
      </dataBar>
    </cfRule>
  </conditionalFormatting>
  <conditionalFormatting sqref="E20:E25">
    <cfRule type="dataBar" priority="6">
      <dataBar>
        <cfvo type="num" val="0"/>
        <cfvo type="max"/>
        <color rgb="0010B981"/>
      </dataBar>
    </cfRule>
  </conditionalFormatting>
  <conditionalFormatting sqref="H20:H25">
    <cfRule type="expression" priority="7" dxfId="0">
      <formula>AND(ISNUMBER($H20),$H20&gt;=1)</formula>
    </cfRule>
    <cfRule type="expression" priority="8" dxfId="2">
      <formula>AND(ISNUMBER($H20),$H20&lt;0.6)</formula>
    </cfRule>
  </conditionalFormatting>
  <conditionalFormatting sqref="K12:K19">
    <cfRule type="dataBar" priority="9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S6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1" customWidth="1" min="3" max="3"/>
    <col width="20" customWidth="1" min="4" max="4"/>
    <col width="10" customWidth="1" min="5" max="5"/>
    <col width="32" customWidth="1" min="6" max="6"/>
    <col width="13" customWidth="1" min="7" max="7"/>
    <col width="9" customWidth="1" min="8" max="8"/>
    <col width="13" customWidth="1" min="9" max="9"/>
    <col width="7" customWidth="1" min="10" max="10"/>
    <col width="3" customWidth="1" min="11" max="11"/>
    <col width="12" customWidth="1" min="12" max="12"/>
    <col width="7" customWidth="1" min="13" max="13"/>
    <col width="10" customWidth="1" min="14" max="14"/>
    <col width="11" customWidth="1" min="15" max="15"/>
    <col width="8" customWidth="1" min="16" max="16"/>
    <col width="3" customWidth="1" min="17" max="17"/>
    <col width="30" customWidth="1" min="18" max="18"/>
    <col width="10" customWidth="1" min="19" max="19"/>
  </cols>
  <sheetData>
    <row r="2" ht="34" customHeight="1">
      <c r="B2" s="1" t="inlineStr">
        <is>
          <t>Registro de sesiones de estudio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Anota cada sesión: fecha, idioma, destreza y minutos. Todo lo demás se calcula solo.</t>
        </is>
      </c>
    </row>
    <row r="5">
      <c r="L5" s="26" t="inlineStr">
        <is>
          <t>Fecha de referencia (vacío = hoy):</t>
        </is>
      </c>
      <c r="P5" s="27" t="n"/>
    </row>
    <row r="6">
      <c r="L6" s="26" t="inlineStr">
        <is>
          <t>Mínimo de minutos para contar un día:</t>
        </is>
      </c>
      <c r="P6" s="28" t="n">
        <v>10</v>
      </c>
    </row>
    <row r="7" ht="32" customHeight="1">
      <c r="B7" s="13" t="inlineStr">
        <is>
          <t>Fecha</t>
        </is>
      </c>
      <c r="C7" s="13" t="inlineStr">
        <is>
          <t>Idioma</t>
        </is>
      </c>
      <c r="D7" s="13" t="inlineStr">
        <is>
          <t>Destreza</t>
        </is>
      </c>
      <c r="E7" s="13" t="inlineStr">
        <is>
          <t>Minutos</t>
        </is>
      </c>
      <c r="F7" s="13" t="inlineStr">
        <is>
          <t>Actividad o recurso</t>
        </is>
      </c>
      <c r="G7" s="13" t="inlineStr">
        <is>
          <t>Concentración (1-5)</t>
        </is>
      </c>
      <c r="H7" s="13" t="inlineStr">
        <is>
          <t>Horas</t>
        </is>
      </c>
      <c r="I7" s="13" t="inlineStr">
        <is>
          <t>Semana (lunes)</t>
        </is>
      </c>
      <c r="J7" s="13" t="inlineStr">
        <is>
          <t>Día</t>
        </is>
      </c>
      <c r="L7" s="13" t="inlineStr">
        <is>
          <t>Fecha</t>
        </is>
      </c>
      <c r="M7" s="13" t="inlineStr">
        <is>
          <t>Día</t>
        </is>
      </c>
      <c r="N7" s="13" t="inlineStr">
        <is>
          <t>Minutos</t>
        </is>
      </c>
      <c r="O7" s="13" t="inlineStr">
        <is>
          <t>¿Estudiado?</t>
        </is>
      </c>
      <c r="P7" s="13" t="inlineStr">
        <is>
          <t>Racha</t>
        </is>
      </c>
      <c r="R7" s="13" t="inlineStr">
        <is>
          <t>Resumen de racha</t>
        </is>
      </c>
      <c r="S7" s="13" t="inlineStr">
        <is>
          <t>Valor</t>
        </is>
      </c>
    </row>
    <row r="8">
      <c r="B8" s="27" t="n">
        <v>46286</v>
      </c>
      <c r="C8" s="29" t="inlineStr">
        <is>
          <t>Inglés</t>
        </is>
      </c>
      <c r="D8" s="29" t="inlineStr">
        <is>
          <t>Vocabulario</t>
        </is>
      </c>
      <c r="E8" s="28" t="n">
        <v>25</v>
      </c>
      <c r="F8" s="29" t="inlineStr">
        <is>
          <t>Anki: 30 tarjetas nuevas</t>
        </is>
      </c>
      <c r="G8" s="28" t="n">
        <v>4</v>
      </c>
      <c r="H8" s="30">
        <f>IF(E8="","",E8/60)</f>
        <v/>
      </c>
      <c r="I8" s="31">
        <f>IF(B8="","",B8-WEEKDAY(B8,2)+1)</f>
        <v/>
      </c>
      <c r="J8" s="15">
        <f>IF(B8="","",MID("LunMarMiéJueVieSábDom",(WEEKDAY(B8,2)-1)*3+1,3))</f>
        <v/>
      </c>
      <c r="L8" s="31">
        <f>IF($P$5="",TODAY(),$P$5)-59</f>
        <v/>
      </c>
      <c r="M8" s="15">
        <f>MID("LunMarMiéJueVieSábDom",(WEEKDAY(L8,2)-1)*3+1,3)</f>
        <v/>
      </c>
      <c r="N8" s="17">
        <f>SUMIF($B$8:$B$47,L8,$E$8:$E$47)</f>
        <v/>
      </c>
      <c r="O8" s="17">
        <f>IF(AND(N8&gt;0,N8&gt;=$P$6),1,0)</f>
        <v/>
      </c>
      <c r="P8" s="17">
        <f>IF(O8=1,1,0)</f>
        <v/>
      </c>
      <c r="R8" s="26" t="inlineStr">
        <is>
          <t>Racha actual (días seguidos)</t>
        </is>
      </c>
      <c r="S8" s="9">
        <f>IF(O67=1,P67,P66)</f>
        <v/>
      </c>
    </row>
    <row r="9">
      <c r="B9" s="27" t="n">
        <v>46286</v>
      </c>
      <c r="C9" s="29" t="inlineStr">
        <is>
          <t>Inglés</t>
        </is>
      </c>
      <c r="D9" s="29" t="inlineStr">
        <is>
          <t>Comprensión oral</t>
        </is>
      </c>
      <c r="E9" s="28" t="n">
        <v>40</v>
      </c>
      <c r="F9" s="29" t="inlineStr">
        <is>
          <t>Podcast 6 Minute English</t>
        </is>
      </c>
      <c r="G9" s="28" t="n">
        <v>4</v>
      </c>
      <c r="H9" s="30">
        <f>IF(E9="","",E9/60)</f>
        <v/>
      </c>
      <c r="I9" s="31">
        <f>IF(B9="","",B9-WEEKDAY(B9,2)+1)</f>
        <v/>
      </c>
      <c r="J9" s="15">
        <f>IF(B9="","",MID("LunMarMiéJueVieSábDom",(WEEKDAY(B9,2)-1)*3+1,3))</f>
        <v/>
      </c>
      <c r="L9" s="31">
        <f>L8+1</f>
        <v/>
      </c>
      <c r="M9" s="15">
        <f>MID("LunMarMiéJueVieSábDom",(WEEKDAY(L9,2)-1)*3+1,3)</f>
        <v/>
      </c>
      <c r="N9" s="17">
        <f>SUMIF($B$8:$B$47,L9,$E$8:$E$47)</f>
        <v/>
      </c>
      <c r="O9" s="17">
        <f>IF(AND(N9&gt;0,N9&gt;=$P$6),1,0)</f>
        <v/>
      </c>
      <c r="P9" s="17">
        <f>IF(O9=1,P8+1,0)</f>
        <v/>
      </c>
      <c r="R9" s="26" t="inlineStr">
        <is>
          <t>Mejor racha (últimos 60 días)</t>
        </is>
      </c>
      <c r="S9" s="9">
        <f>MAX(P8:P67)</f>
        <v/>
      </c>
    </row>
    <row r="10">
      <c r="B10" s="27" t="n">
        <v>46287</v>
      </c>
      <c r="C10" s="29" t="inlineStr">
        <is>
          <t>Francés</t>
        </is>
      </c>
      <c r="D10" s="29" t="inlineStr">
        <is>
          <t>Gramática</t>
        </is>
      </c>
      <c r="E10" s="28" t="n">
        <v>30</v>
      </c>
      <c r="F10" s="29" t="inlineStr">
        <is>
          <t>Passé composé: ejercicios</t>
        </is>
      </c>
      <c r="G10" s="28" t="n">
        <v>3</v>
      </c>
      <c r="H10" s="30">
        <f>IF(E10="","",E10/60)</f>
        <v/>
      </c>
      <c r="I10" s="31">
        <f>IF(B10="","",B10-WEEKDAY(B10,2)+1)</f>
        <v/>
      </c>
      <c r="J10" s="15">
        <f>IF(B10="","",MID("LunMarMiéJueVieSábDom",(WEEKDAY(B10,2)-1)*3+1,3))</f>
        <v/>
      </c>
      <c r="L10" s="31">
        <f>L9+1</f>
        <v/>
      </c>
      <c r="M10" s="15">
        <f>MID("LunMarMiéJueVieSábDom",(WEEKDAY(L10,2)-1)*3+1,3)</f>
        <v/>
      </c>
      <c r="N10" s="17">
        <f>SUMIF($B$8:$B$47,L10,$E$8:$E$47)</f>
        <v/>
      </c>
      <c r="O10" s="17">
        <f>IF(AND(N10&gt;0,N10&gt;=$P$6),1,0)</f>
        <v/>
      </c>
      <c r="P10" s="17">
        <f>IF(O10=1,P9+1,0)</f>
        <v/>
      </c>
      <c r="R10" s="26" t="inlineStr">
        <is>
          <t>Días estudiados (de 60)</t>
        </is>
      </c>
      <c r="S10" s="9">
        <f>SUM(O8:O67)</f>
        <v/>
      </c>
    </row>
    <row r="11">
      <c r="B11" s="27" t="n">
        <v>46288</v>
      </c>
      <c r="C11" s="29" t="inlineStr">
        <is>
          <t>Inglés</t>
        </is>
      </c>
      <c r="D11" s="29" t="inlineStr">
        <is>
          <t>Gramática</t>
        </is>
      </c>
      <c r="E11" s="28" t="n">
        <v>35</v>
      </c>
      <c r="F11" s="29" t="inlineStr">
        <is>
          <t>Condicionales tipo 2 y 3</t>
        </is>
      </c>
      <c r="G11" s="28" t="n">
        <v>4</v>
      </c>
      <c r="H11" s="30">
        <f>IF(E11="","",E11/60)</f>
        <v/>
      </c>
      <c r="I11" s="31">
        <f>IF(B11="","",B11-WEEKDAY(B11,2)+1)</f>
        <v/>
      </c>
      <c r="J11" s="15">
        <f>IF(B11="","",MID("LunMarMiéJueVieSábDom",(WEEKDAY(B11,2)-1)*3+1,3))</f>
        <v/>
      </c>
      <c r="L11" s="31">
        <f>L10+1</f>
        <v/>
      </c>
      <c r="M11" s="15">
        <f>MID("LunMarMiéJueVieSábDom",(WEEKDAY(L11,2)-1)*3+1,3)</f>
        <v/>
      </c>
      <c r="N11" s="17">
        <f>SUMIF($B$8:$B$47,L11,$E$8:$E$47)</f>
        <v/>
      </c>
      <c r="O11" s="17">
        <f>IF(AND(N11&gt;0,N11&gt;=$P$6),1,0)</f>
        <v/>
      </c>
      <c r="P11" s="17">
        <f>IF(O11=1,P10+1,0)</f>
        <v/>
      </c>
      <c r="R11" s="26" t="inlineStr">
        <is>
          <t>Minutos medios por día estudiado</t>
        </is>
      </c>
      <c r="S11" s="9">
        <f>IFERROR(SUMIF(O8:O67,1,N8:N67)/S10,0)</f>
        <v/>
      </c>
    </row>
    <row r="12">
      <c r="B12" s="27" t="n">
        <v>46288</v>
      </c>
      <c r="C12" s="29" t="inlineStr">
        <is>
          <t>Alemán</t>
        </is>
      </c>
      <c r="D12" s="29" t="inlineStr">
        <is>
          <t>Vocabulario</t>
        </is>
      </c>
      <c r="E12" s="28" t="n">
        <v>20</v>
      </c>
      <c r="F12" s="29" t="inlineStr">
        <is>
          <t>Lección 4: la familia</t>
        </is>
      </c>
      <c r="G12" s="28" t="n">
        <v>5</v>
      </c>
      <c r="H12" s="30">
        <f>IF(E12="","",E12/60)</f>
        <v/>
      </c>
      <c r="I12" s="31">
        <f>IF(B12="","",B12-WEEKDAY(B12,2)+1)</f>
        <v/>
      </c>
      <c r="J12" s="15">
        <f>IF(B12="","",MID("LunMarMiéJueVieSábDom",(WEEKDAY(B12,2)-1)*3+1,3))</f>
        <v/>
      </c>
      <c r="L12" s="31">
        <f>L11+1</f>
        <v/>
      </c>
      <c r="M12" s="15">
        <f>MID("LunMarMiéJueVieSábDom",(WEEKDAY(L12,2)-1)*3+1,3)</f>
        <v/>
      </c>
      <c r="N12" s="17">
        <f>SUMIF($B$8:$B$47,L12,$E$8:$E$47)</f>
        <v/>
      </c>
      <c r="O12" s="17">
        <f>IF(AND(N12&gt;0,N12&gt;=$P$6),1,0)</f>
        <v/>
      </c>
      <c r="P12" s="17">
        <f>IF(O12=1,P11+1,0)</f>
        <v/>
      </c>
    </row>
    <row r="13" ht="48" customHeight="1">
      <c r="B13" s="27" t="n">
        <v>46289</v>
      </c>
      <c r="C13" s="29" t="inlineStr">
        <is>
          <t>Inglés</t>
        </is>
      </c>
      <c r="D13" s="29" t="inlineStr">
        <is>
          <t>Expresión oral</t>
        </is>
      </c>
      <c r="E13" s="28" t="n">
        <v>45</v>
      </c>
      <c r="F13" s="29" t="inlineStr">
        <is>
          <t>Clase de conversación online</t>
        </is>
      </c>
      <c r="G13" s="28" t="n">
        <v>5</v>
      </c>
      <c r="H13" s="30">
        <f>IF(E13="","",E13/60)</f>
        <v/>
      </c>
      <c r="I13" s="31">
        <f>IF(B13="","",B13-WEEKDAY(B13,2)+1)</f>
        <v/>
      </c>
      <c r="J13" s="15">
        <f>IF(B13="","",MID("LunMarMiéJueVieSábDom",(WEEKDAY(B13,2)-1)*3+1,3))</f>
        <v/>
      </c>
      <c r="L13" s="31">
        <f>L12+1</f>
        <v/>
      </c>
      <c r="M13" s="15">
        <f>MID("LunMarMiéJueVieSábDom",(WEEKDAY(L13,2)-1)*3+1,3)</f>
        <v/>
      </c>
      <c r="N13" s="17">
        <f>SUMIF($B$8:$B$47,L13,$E$8:$E$47)</f>
        <v/>
      </c>
      <c r="O13" s="17">
        <f>IF(AND(N13&gt;0,N13&gt;=$P$6),1,0)</f>
        <v/>
      </c>
      <c r="P13" s="17">
        <f>IF(O13=1,P12+1,0)</f>
        <v/>
      </c>
      <c r="R13" s="32" t="inlineStr">
        <is>
          <t>La racha cuenta días seguidos con al menos el mínimo de minutos. Si hoy aún no has estudiado, no se rompe: se cuenta hasta ayer.</t>
        </is>
      </c>
    </row>
    <row r="14">
      <c r="B14" s="27" t="n">
        <v>46289</v>
      </c>
      <c r="C14" s="29" t="inlineStr">
        <is>
          <t>Francés</t>
        </is>
      </c>
      <c r="D14" s="29" t="inlineStr">
        <is>
          <t>Vocabulario</t>
        </is>
      </c>
      <c r="E14" s="28" t="n">
        <v>20</v>
      </c>
      <c r="F14" s="29" t="inlineStr">
        <is>
          <t>Lista de verbos frecuentes</t>
        </is>
      </c>
      <c r="G14" s="28" t="n">
        <v>4</v>
      </c>
      <c r="H14" s="30">
        <f>IF(E14="","",E14/60)</f>
        <v/>
      </c>
      <c r="I14" s="31">
        <f>IF(B14="","",B14-WEEKDAY(B14,2)+1)</f>
        <v/>
      </c>
      <c r="J14" s="15">
        <f>IF(B14="","",MID("LunMarMiéJueVieSábDom",(WEEKDAY(B14,2)-1)*3+1,3))</f>
        <v/>
      </c>
      <c r="L14" s="31">
        <f>L13+1</f>
        <v/>
      </c>
      <c r="M14" s="15">
        <f>MID("LunMarMiéJueVieSábDom",(WEEKDAY(L14,2)-1)*3+1,3)</f>
        <v/>
      </c>
      <c r="N14" s="17">
        <f>SUMIF($B$8:$B$47,L14,$E$8:$E$47)</f>
        <v/>
      </c>
      <c r="O14" s="17">
        <f>IF(AND(N14&gt;0,N14&gt;=$P$6),1,0)</f>
        <v/>
      </c>
      <c r="P14" s="17">
        <f>IF(O14=1,P13+1,0)</f>
        <v/>
      </c>
    </row>
    <row r="15">
      <c r="B15" s="27" t="n">
        <v>46290</v>
      </c>
      <c r="C15" s="29" t="inlineStr">
        <is>
          <t>Inglés</t>
        </is>
      </c>
      <c r="D15" s="29" t="inlineStr">
        <is>
          <t>Comprensión lectora</t>
        </is>
      </c>
      <c r="E15" s="28" t="n">
        <v>30</v>
      </c>
      <c r="F15" s="29" t="inlineStr">
        <is>
          <t>Artículo de periódico</t>
        </is>
      </c>
      <c r="G15" s="28" t="n">
        <v>3</v>
      </c>
      <c r="H15" s="30">
        <f>IF(E15="","",E15/60)</f>
        <v/>
      </c>
      <c r="I15" s="31">
        <f>IF(B15="","",B15-WEEKDAY(B15,2)+1)</f>
        <v/>
      </c>
      <c r="J15" s="15">
        <f>IF(B15="","",MID("LunMarMiéJueVieSábDom",(WEEKDAY(B15,2)-1)*3+1,3))</f>
        <v/>
      </c>
      <c r="L15" s="31">
        <f>L14+1</f>
        <v/>
      </c>
      <c r="M15" s="15">
        <f>MID("LunMarMiéJueVieSábDom",(WEEKDAY(L15,2)-1)*3+1,3)</f>
        <v/>
      </c>
      <c r="N15" s="17">
        <f>SUMIF($B$8:$B$47,L15,$E$8:$E$47)</f>
        <v/>
      </c>
      <c r="O15" s="17">
        <f>IF(AND(N15&gt;0,N15&gt;=$P$6),1,0)</f>
        <v/>
      </c>
      <c r="P15" s="17">
        <f>IF(O15=1,P14+1,0)</f>
        <v/>
      </c>
    </row>
    <row r="16">
      <c r="B16" s="27" t="n">
        <v>46290</v>
      </c>
      <c r="C16" s="29" t="inlineStr">
        <is>
          <t>Alemán</t>
        </is>
      </c>
      <c r="D16" s="29" t="inlineStr">
        <is>
          <t>Gramática</t>
        </is>
      </c>
      <c r="E16" s="28" t="n">
        <v>25</v>
      </c>
      <c r="F16" s="29" t="inlineStr">
        <is>
          <t>Artículos y casos: nominativo</t>
        </is>
      </c>
      <c r="G16" s="28" t="n">
        <v>3</v>
      </c>
      <c r="H16" s="30">
        <f>IF(E16="","",E16/60)</f>
        <v/>
      </c>
      <c r="I16" s="31">
        <f>IF(B16="","",B16-WEEKDAY(B16,2)+1)</f>
        <v/>
      </c>
      <c r="J16" s="15">
        <f>IF(B16="","",MID("LunMarMiéJueVieSábDom",(WEEKDAY(B16,2)-1)*3+1,3))</f>
        <v/>
      </c>
      <c r="L16" s="31">
        <f>L15+1</f>
        <v/>
      </c>
      <c r="M16" s="15">
        <f>MID("LunMarMiéJueVieSábDom",(WEEKDAY(L16,2)-1)*3+1,3)</f>
        <v/>
      </c>
      <c r="N16" s="17">
        <f>SUMIF($B$8:$B$47,L16,$E$8:$E$47)</f>
        <v/>
      </c>
      <c r="O16" s="17">
        <f>IF(AND(N16&gt;0,N16&gt;=$P$6),1,0)</f>
        <v/>
      </c>
      <c r="P16" s="17">
        <f>IF(O16=1,P15+1,0)</f>
        <v/>
      </c>
    </row>
    <row r="17">
      <c r="B17" s="27" t="n">
        <v>46291</v>
      </c>
      <c r="C17" s="29" t="inlineStr">
        <is>
          <t>Francés</t>
        </is>
      </c>
      <c r="D17" s="29" t="inlineStr">
        <is>
          <t>Comprensión oral</t>
        </is>
      </c>
      <c r="E17" s="28" t="n">
        <v>40</v>
      </c>
      <c r="F17" s="29" t="inlineStr">
        <is>
          <t>Serie con subtítulos en francés</t>
        </is>
      </c>
      <c r="G17" s="28" t="n">
        <v>4</v>
      </c>
      <c r="H17" s="30">
        <f>IF(E17="","",E17/60)</f>
        <v/>
      </c>
      <c r="I17" s="31">
        <f>IF(B17="","",B17-WEEKDAY(B17,2)+1)</f>
        <v/>
      </c>
      <c r="J17" s="15">
        <f>IF(B17="","",MID("LunMarMiéJueVieSábDom",(WEEKDAY(B17,2)-1)*3+1,3))</f>
        <v/>
      </c>
      <c r="L17" s="31">
        <f>L16+1</f>
        <v/>
      </c>
      <c r="M17" s="15">
        <f>MID("LunMarMiéJueVieSábDom",(WEEKDAY(L17,2)-1)*3+1,3)</f>
        <v/>
      </c>
      <c r="N17" s="17">
        <f>SUMIF($B$8:$B$47,L17,$E$8:$E$47)</f>
        <v/>
      </c>
      <c r="O17" s="17">
        <f>IF(AND(N17&gt;0,N17&gt;=$P$6),1,0)</f>
        <v/>
      </c>
      <c r="P17" s="17">
        <f>IF(O17=1,P16+1,0)</f>
        <v/>
      </c>
    </row>
    <row r="18">
      <c r="B18" s="27" t="n">
        <v>46293</v>
      </c>
      <c r="C18" s="29" t="inlineStr">
        <is>
          <t>Inglés</t>
        </is>
      </c>
      <c r="D18" s="29" t="inlineStr">
        <is>
          <t>Vocabulario</t>
        </is>
      </c>
      <c r="E18" s="28" t="n">
        <v>20</v>
      </c>
      <c r="F18" s="29" t="inlineStr">
        <is>
          <t>Repaso Anki</t>
        </is>
      </c>
      <c r="G18" s="28" t="n">
        <v>4</v>
      </c>
      <c r="H18" s="30">
        <f>IF(E18="","",E18/60)</f>
        <v/>
      </c>
      <c r="I18" s="31">
        <f>IF(B18="","",B18-WEEKDAY(B18,2)+1)</f>
        <v/>
      </c>
      <c r="J18" s="15">
        <f>IF(B18="","",MID("LunMarMiéJueVieSábDom",(WEEKDAY(B18,2)-1)*3+1,3))</f>
        <v/>
      </c>
      <c r="L18" s="31">
        <f>L17+1</f>
        <v/>
      </c>
      <c r="M18" s="15">
        <f>MID("LunMarMiéJueVieSábDom",(WEEKDAY(L18,2)-1)*3+1,3)</f>
        <v/>
      </c>
      <c r="N18" s="17">
        <f>SUMIF($B$8:$B$47,L18,$E$8:$E$47)</f>
        <v/>
      </c>
      <c r="O18" s="17">
        <f>IF(AND(N18&gt;0,N18&gt;=$P$6),1,0)</f>
        <v/>
      </c>
      <c r="P18" s="17">
        <f>IF(O18=1,P17+1,0)</f>
        <v/>
      </c>
    </row>
    <row r="19">
      <c r="B19" s="27" t="n">
        <v>46293</v>
      </c>
      <c r="C19" s="29" t="inlineStr">
        <is>
          <t>Inglés</t>
        </is>
      </c>
      <c r="D19" s="29" t="inlineStr">
        <is>
          <t>Expresión escrita</t>
        </is>
      </c>
      <c r="E19" s="28" t="n">
        <v>30</v>
      </c>
      <c r="F19" s="29" t="inlineStr">
        <is>
          <t>Redacción de 150 palabras</t>
        </is>
      </c>
      <c r="G19" s="28" t="n">
        <v>3</v>
      </c>
      <c r="H19" s="30">
        <f>IF(E19="","",E19/60)</f>
        <v/>
      </c>
      <c r="I19" s="31">
        <f>IF(B19="","",B19-WEEKDAY(B19,2)+1)</f>
        <v/>
      </c>
      <c r="J19" s="15">
        <f>IF(B19="","",MID("LunMarMiéJueVieSábDom",(WEEKDAY(B19,2)-1)*3+1,3))</f>
        <v/>
      </c>
      <c r="L19" s="31">
        <f>L18+1</f>
        <v/>
      </c>
      <c r="M19" s="15">
        <f>MID("LunMarMiéJueVieSábDom",(WEEKDAY(L19,2)-1)*3+1,3)</f>
        <v/>
      </c>
      <c r="N19" s="17">
        <f>SUMIF($B$8:$B$47,L19,$E$8:$E$47)</f>
        <v/>
      </c>
      <c r="O19" s="17">
        <f>IF(AND(N19&gt;0,N19&gt;=$P$6),1,0)</f>
        <v/>
      </c>
      <c r="P19" s="17">
        <f>IF(O19=1,P18+1,0)</f>
        <v/>
      </c>
    </row>
    <row r="20">
      <c r="B20" s="27" t="n">
        <v>46294</v>
      </c>
      <c r="C20" s="29" t="inlineStr">
        <is>
          <t>Francés</t>
        </is>
      </c>
      <c r="D20" s="29" t="inlineStr">
        <is>
          <t>Gramática</t>
        </is>
      </c>
      <c r="E20" s="28" t="n">
        <v>35</v>
      </c>
      <c r="F20" s="29" t="inlineStr">
        <is>
          <t>Pronombres COD y COI</t>
        </is>
      </c>
      <c r="G20" s="28" t="n">
        <v>4</v>
      </c>
      <c r="H20" s="30">
        <f>IF(E20="","",E20/60)</f>
        <v/>
      </c>
      <c r="I20" s="31">
        <f>IF(B20="","",B20-WEEKDAY(B20,2)+1)</f>
        <v/>
      </c>
      <c r="J20" s="15">
        <f>IF(B20="","",MID("LunMarMiéJueVieSábDom",(WEEKDAY(B20,2)-1)*3+1,3))</f>
        <v/>
      </c>
      <c r="L20" s="31">
        <f>L19+1</f>
        <v/>
      </c>
      <c r="M20" s="15">
        <f>MID("LunMarMiéJueVieSábDom",(WEEKDAY(L20,2)-1)*3+1,3)</f>
        <v/>
      </c>
      <c r="N20" s="17">
        <f>SUMIF($B$8:$B$47,L20,$E$8:$E$47)</f>
        <v/>
      </c>
      <c r="O20" s="17">
        <f>IF(AND(N20&gt;0,N20&gt;=$P$6),1,0)</f>
        <v/>
      </c>
      <c r="P20" s="17">
        <f>IF(O20=1,P19+1,0)</f>
        <v/>
      </c>
    </row>
    <row r="21">
      <c r="B21" s="27" t="n">
        <v>46294</v>
      </c>
      <c r="C21" s="29" t="inlineStr">
        <is>
          <t>Alemán</t>
        </is>
      </c>
      <c r="D21" s="29" t="inlineStr">
        <is>
          <t>Vocabulario</t>
        </is>
      </c>
      <c r="E21" s="28" t="n">
        <v>20</v>
      </c>
      <c r="F21" s="29" t="inlineStr">
        <is>
          <t>Lección 5: la casa</t>
        </is>
      </c>
      <c r="G21" s="28" t="n">
        <v>4</v>
      </c>
      <c r="H21" s="30">
        <f>IF(E21="","",E21/60)</f>
        <v/>
      </c>
      <c r="I21" s="31">
        <f>IF(B21="","",B21-WEEKDAY(B21,2)+1)</f>
        <v/>
      </c>
      <c r="J21" s="15">
        <f>IF(B21="","",MID("LunMarMiéJueVieSábDom",(WEEKDAY(B21,2)-1)*3+1,3))</f>
        <v/>
      </c>
      <c r="L21" s="31">
        <f>L20+1</f>
        <v/>
      </c>
      <c r="M21" s="15">
        <f>MID("LunMarMiéJueVieSábDom",(WEEKDAY(L21,2)-1)*3+1,3)</f>
        <v/>
      </c>
      <c r="N21" s="17">
        <f>SUMIF($B$8:$B$47,L21,$E$8:$E$47)</f>
        <v/>
      </c>
      <c r="O21" s="17">
        <f>IF(AND(N21&gt;0,N21&gt;=$P$6),1,0)</f>
        <v/>
      </c>
      <c r="P21" s="17">
        <f>IF(O21=1,P20+1,0)</f>
        <v/>
      </c>
    </row>
    <row r="22">
      <c r="B22" s="27" t="n">
        <v>46295</v>
      </c>
      <c r="C22" s="29" t="inlineStr">
        <is>
          <t>Inglés</t>
        </is>
      </c>
      <c r="D22" s="29" t="inlineStr">
        <is>
          <t>Comprensión oral</t>
        </is>
      </c>
      <c r="E22" s="28" t="n">
        <v>40</v>
      </c>
      <c r="F22" s="29" t="inlineStr">
        <is>
          <t>Pódcast con transcripción</t>
        </is>
      </c>
      <c r="G22" s="28" t="n">
        <v>5</v>
      </c>
      <c r="H22" s="30">
        <f>IF(E22="","",E22/60)</f>
        <v/>
      </c>
      <c r="I22" s="31">
        <f>IF(B22="","",B22-WEEKDAY(B22,2)+1)</f>
        <v/>
      </c>
      <c r="J22" s="15">
        <f>IF(B22="","",MID("LunMarMiéJueVieSábDom",(WEEKDAY(B22,2)-1)*3+1,3))</f>
        <v/>
      </c>
      <c r="L22" s="31">
        <f>L21+1</f>
        <v/>
      </c>
      <c r="M22" s="15">
        <f>MID("LunMarMiéJueVieSábDom",(WEEKDAY(L22,2)-1)*3+1,3)</f>
        <v/>
      </c>
      <c r="N22" s="17">
        <f>SUMIF($B$8:$B$47,L22,$E$8:$E$47)</f>
        <v/>
      </c>
      <c r="O22" s="17">
        <f>IF(AND(N22&gt;0,N22&gt;=$P$6),1,0)</f>
        <v/>
      </c>
      <c r="P22" s="17">
        <f>IF(O22=1,P21+1,0)</f>
        <v/>
      </c>
    </row>
    <row r="23">
      <c r="B23" s="27" t="n">
        <v>46295</v>
      </c>
      <c r="C23" s="29" t="inlineStr">
        <is>
          <t>Francés</t>
        </is>
      </c>
      <c r="D23" s="29" t="inlineStr">
        <is>
          <t>Expresión oral</t>
        </is>
      </c>
      <c r="E23" s="28" t="n">
        <v>30</v>
      </c>
      <c r="F23" s="29" t="inlineStr">
        <is>
          <t>Intercambio de idiomas</t>
        </is>
      </c>
      <c r="G23" s="28" t="n">
        <v>5</v>
      </c>
      <c r="H23" s="30">
        <f>IF(E23="","",E23/60)</f>
        <v/>
      </c>
      <c r="I23" s="31">
        <f>IF(B23="","",B23-WEEKDAY(B23,2)+1)</f>
        <v/>
      </c>
      <c r="J23" s="15">
        <f>IF(B23="","",MID("LunMarMiéJueVieSábDom",(WEEKDAY(B23,2)-1)*3+1,3))</f>
        <v/>
      </c>
      <c r="L23" s="31">
        <f>L22+1</f>
        <v/>
      </c>
      <c r="M23" s="15">
        <f>MID("LunMarMiéJueVieSábDom",(WEEKDAY(L23,2)-1)*3+1,3)</f>
        <v/>
      </c>
      <c r="N23" s="17">
        <f>SUMIF($B$8:$B$47,L23,$E$8:$E$47)</f>
        <v/>
      </c>
      <c r="O23" s="17">
        <f>IF(AND(N23&gt;0,N23&gt;=$P$6),1,0)</f>
        <v/>
      </c>
      <c r="P23" s="17">
        <f>IF(O23=1,P22+1,0)</f>
        <v/>
      </c>
    </row>
    <row r="24">
      <c r="B24" s="27" t="n">
        <v>46296</v>
      </c>
      <c r="C24" s="29" t="inlineStr">
        <is>
          <t>Inglés</t>
        </is>
      </c>
      <c r="D24" s="29" t="inlineStr">
        <is>
          <t>Expresión oral</t>
        </is>
      </c>
      <c r="E24" s="28" t="n">
        <v>45</v>
      </c>
      <c r="F24" s="29" t="inlineStr">
        <is>
          <t>Clase de conversación online</t>
        </is>
      </c>
      <c r="G24" s="28" t="n">
        <v>5</v>
      </c>
      <c r="H24" s="30">
        <f>IF(E24="","",E24/60)</f>
        <v/>
      </c>
      <c r="I24" s="31">
        <f>IF(B24="","",B24-WEEKDAY(B24,2)+1)</f>
        <v/>
      </c>
      <c r="J24" s="15">
        <f>IF(B24="","",MID("LunMarMiéJueVieSábDom",(WEEKDAY(B24,2)-1)*3+1,3))</f>
        <v/>
      </c>
      <c r="L24" s="31">
        <f>L23+1</f>
        <v/>
      </c>
      <c r="M24" s="15">
        <f>MID("LunMarMiéJueVieSábDom",(WEEKDAY(L24,2)-1)*3+1,3)</f>
        <v/>
      </c>
      <c r="N24" s="17">
        <f>SUMIF($B$8:$B$47,L24,$E$8:$E$47)</f>
        <v/>
      </c>
      <c r="O24" s="17">
        <f>IF(AND(N24&gt;0,N24&gt;=$P$6),1,0)</f>
        <v/>
      </c>
      <c r="P24" s="17">
        <f>IF(O24=1,P23+1,0)</f>
        <v/>
      </c>
    </row>
    <row r="25">
      <c r="B25" s="27" t="n">
        <v>46296</v>
      </c>
      <c r="C25" s="29" t="inlineStr">
        <is>
          <t>Alemán</t>
        </is>
      </c>
      <c r="D25" s="29" t="inlineStr">
        <is>
          <t>Comprensión oral</t>
        </is>
      </c>
      <c r="E25" s="28" t="n">
        <v>25</v>
      </c>
      <c r="F25" s="29" t="inlineStr">
        <is>
          <t>Audios del curso, unidad 5</t>
        </is>
      </c>
      <c r="G25" s="28" t="n">
        <v>3</v>
      </c>
      <c r="H25" s="30">
        <f>IF(E25="","",E25/60)</f>
        <v/>
      </c>
      <c r="I25" s="31">
        <f>IF(B25="","",B25-WEEKDAY(B25,2)+1)</f>
        <v/>
      </c>
      <c r="J25" s="15">
        <f>IF(B25="","",MID("LunMarMiéJueVieSábDom",(WEEKDAY(B25,2)-1)*3+1,3))</f>
        <v/>
      </c>
      <c r="L25" s="31">
        <f>L24+1</f>
        <v/>
      </c>
      <c r="M25" s="15">
        <f>MID("LunMarMiéJueVieSábDom",(WEEKDAY(L25,2)-1)*3+1,3)</f>
        <v/>
      </c>
      <c r="N25" s="17">
        <f>SUMIF($B$8:$B$47,L25,$E$8:$E$47)</f>
        <v/>
      </c>
      <c r="O25" s="17">
        <f>IF(AND(N25&gt;0,N25&gt;=$P$6),1,0)</f>
        <v/>
      </c>
      <c r="P25" s="17">
        <f>IF(O25=1,P24+1,0)</f>
        <v/>
      </c>
    </row>
    <row r="26">
      <c r="B26" s="27" t="n"/>
      <c r="C26" s="29" t="n"/>
      <c r="D26" s="29" t="n"/>
      <c r="E26" s="28" t="n"/>
      <c r="F26" s="29" t="n"/>
      <c r="G26" s="28" t="n"/>
      <c r="H26" s="30">
        <f>IF(E26="","",E26/60)</f>
        <v/>
      </c>
      <c r="I26" s="31">
        <f>IF(B26="","",B26-WEEKDAY(B26,2)+1)</f>
        <v/>
      </c>
      <c r="J26" s="15">
        <f>IF(B26="","",MID("LunMarMiéJueVieSábDom",(WEEKDAY(B26,2)-1)*3+1,3))</f>
        <v/>
      </c>
      <c r="L26" s="31">
        <f>L25+1</f>
        <v/>
      </c>
      <c r="M26" s="15">
        <f>MID("LunMarMiéJueVieSábDom",(WEEKDAY(L26,2)-1)*3+1,3)</f>
        <v/>
      </c>
      <c r="N26" s="17">
        <f>SUMIF($B$8:$B$47,L26,$E$8:$E$47)</f>
        <v/>
      </c>
      <c r="O26" s="17">
        <f>IF(AND(N26&gt;0,N26&gt;=$P$6),1,0)</f>
        <v/>
      </c>
      <c r="P26" s="17">
        <f>IF(O26=1,P25+1,0)</f>
        <v/>
      </c>
    </row>
    <row r="27">
      <c r="B27" s="27" t="n"/>
      <c r="C27" s="29" t="n"/>
      <c r="D27" s="29" t="n"/>
      <c r="E27" s="28" t="n"/>
      <c r="F27" s="29" t="n"/>
      <c r="G27" s="28" t="n"/>
      <c r="H27" s="30">
        <f>IF(E27="","",E27/60)</f>
        <v/>
      </c>
      <c r="I27" s="31">
        <f>IF(B27="","",B27-WEEKDAY(B27,2)+1)</f>
        <v/>
      </c>
      <c r="J27" s="15">
        <f>IF(B27="","",MID("LunMarMiéJueVieSábDom",(WEEKDAY(B27,2)-1)*3+1,3))</f>
        <v/>
      </c>
      <c r="L27" s="31">
        <f>L26+1</f>
        <v/>
      </c>
      <c r="M27" s="15">
        <f>MID("LunMarMiéJueVieSábDom",(WEEKDAY(L27,2)-1)*3+1,3)</f>
        <v/>
      </c>
      <c r="N27" s="17">
        <f>SUMIF($B$8:$B$47,L27,$E$8:$E$47)</f>
        <v/>
      </c>
      <c r="O27" s="17">
        <f>IF(AND(N27&gt;0,N27&gt;=$P$6),1,0)</f>
        <v/>
      </c>
      <c r="P27" s="17">
        <f>IF(O27=1,P26+1,0)</f>
        <v/>
      </c>
    </row>
    <row r="28">
      <c r="B28" s="27" t="n"/>
      <c r="C28" s="29" t="n"/>
      <c r="D28" s="29" t="n"/>
      <c r="E28" s="28" t="n"/>
      <c r="F28" s="29" t="n"/>
      <c r="G28" s="28" t="n"/>
      <c r="H28" s="30">
        <f>IF(E28="","",E28/60)</f>
        <v/>
      </c>
      <c r="I28" s="31">
        <f>IF(B28="","",B28-WEEKDAY(B28,2)+1)</f>
        <v/>
      </c>
      <c r="J28" s="15">
        <f>IF(B28="","",MID("LunMarMiéJueVieSábDom",(WEEKDAY(B28,2)-1)*3+1,3))</f>
        <v/>
      </c>
      <c r="L28" s="31">
        <f>L27+1</f>
        <v/>
      </c>
      <c r="M28" s="15">
        <f>MID("LunMarMiéJueVieSábDom",(WEEKDAY(L28,2)-1)*3+1,3)</f>
        <v/>
      </c>
      <c r="N28" s="17">
        <f>SUMIF($B$8:$B$47,L28,$E$8:$E$47)</f>
        <v/>
      </c>
      <c r="O28" s="17">
        <f>IF(AND(N28&gt;0,N28&gt;=$P$6),1,0)</f>
        <v/>
      </c>
      <c r="P28" s="17">
        <f>IF(O28=1,P27+1,0)</f>
        <v/>
      </c>
    </row>
    <row r="29">
      <c r="B29" s="27" t="n"/>
      <c r="C29" s="29" t="n"/>
      <c r="D29" s="29" t="n"/>
      <c r="E29" s="28" t="n"/>
      <c r="F29" s="29" t="n"/>
      <c r="G29" s="28" t="n"/>
      <c r="H29" s="30">
        <f>IF(E29="","",E29/60)</f>
        <v/>
      </c>
      <c r="I29" s="31">
        <f>IF(B29="","",B29-WEEKDAY(B29,2)+1)</f>
        <v/>
      </c>
      <c r="J29" s="15">
        <f>IF(B29="","",MID("LunMarMiéJueVieSábDom",(WEEKDAY(B29,2)-1)*3+1,3))</f>
        <v/>
      </c>
      <c r="L29" s="31">
        <f>L28+1</f>
        <v/>
      </c>
      <c r="M29" s="15">
        <f>MID("LunMarMiéJueVieSábDom",(WEEKDAY(L29,2)-1)*3+1,3)</f>
        <v/>
      </c>
      <c r="N29" s="17">
        <f>SUMIF($B$8:$B$47,L29,$E$8:$E$47)</f>
        <v/>
      </c>
      <c r="O29" s="17">
        <f>IF(AND(N29&gt;0,N29&gt;=$P$6),1,0)</f>
        <v/>
      </c>
      <c r="P29" s="17">
        <f>IF(O29=1,P28+1,0)</f>
        <v/>
      </c>
    </row>
    <row r="30">
      <c r="B30" s="27" t="n"/>
      <c r="C30" s="29" t="n"/>
      <c r="D30" s="29" t="n"/>
      <c r="E30" s="28" t="n"/>
      <c r="F30" s="29" t="n"/>
      <c r="G30" s="28" t="n"/>
      <c r="H30" s="30">
        <f>IF(E30="","",E30/60)</f>
        <v/>
      </c>
      <c r="I30" s="31">
        <f>IF(B30="","",B30-WEEKDAY(B30,2)+1)</f>
        <v/>
      </c>
      <c r="J30" s="15">
        <f>IF(B30="","",MID("LunMarMiéJueVieSábDom",(WEEKDAY(B30,2)-1)*3+1,3))</f>
        <v/>
      </c>
      <c r="L30" s="31">
        <f>L29+1</f>
        <v/>
      </c>
      <c r="M30" s="15">
        <f>MID("LunMarMiéJueVieSábDom",(WEEKDAY(L30,2)-1)*3+1,3)</f>
        <v/>
      </c>
      <c r="N30" s="17">
        <f>SUMIF($B$8:$B$47,L30,$E$8:$E$47)</f>
        <v/>
      </c>
      <c r="O30" s="17">
        <f>IF(AND(N30&gt;0,N30&gt;=$P$6),1,0)</f>
        <v/>
      </c>
      <c r="P30" s="17">
        <f>IF(O30=1,P29+1,0)</f>
        <v/>
      </c>
    </row>
    <row r="31">
      <c r="B31" s="27" t="n"/>
      <c r="C31" s="29" t="n"/>
      <c r="D31" s="29" t="n"/>
      <c r="E31" s="28" t="n"/>
      <c r="F31" s="29" t="n"/>
      <c r="G31" s="28" t="n"/>
      <c r="H31" s="30">
        <f>IF(E31="","",E31/60)</f>
        <v/>
      </c>
      <c r="I31" s="31">
        <f>IF(B31="","",B31-WEEKDAY(B31,2)+1)</f>
        <v/>
      </c>
      <c r="J31" s="15">
        <f>IF(B31="","",MID("LunMarMiéJueVieSábDom",(WEEKDAY(B31,2)-1)*3+1,3))</f>
        <v/>
      </c>
      <c r="L31" s="31">
        <f>L30+1</f>
        <v/>
      </c>
      <c r="M31" s="15">
        <f>MID("LunMarMiéJueVieSábDom",(WEEKDAY(L31,2)-1)*3+1,3)</f>
        <v/>
      </c>
      <c r="N31" s="17">
        <f>SUMIF($B$8:$B$47,L31,$E$8:$E$47)</f>
        <v/>
      </c>
      <c r="O31" s="17">
        <f>IF(AND(N31&gt;0,N31&gt;=$P$6),1,0)</f>
        <v/>
      </c>
      <c r="P31" s="17">
        <f>IF(O31=1,P30+1,0)</f>
        <v/>
      </c>
    </row>
    <row r="32">
      <c r="B32" s="27" t="n"/>
      <c r="C32" s="29" t="n"/>
      <c r="D32" s="29" t="n"/>
      <c r="E32" s="28" t="n"/>
      <c r="F32" s="29" t="n"/>
      <c r="G32" s="28" t="n"/>
      <c r="H32" s="30">
        <f>IF(E32="","",E32/60)</f>
        <v/>
      </c>
      <c r="I32" s="31">
        <f>IF(B32="","",B32-WEEKDAY(B32,2)+1)</f>
        <v/>
      </c>
      <c r="J32" s="15">
        <f>IF(B32="","",MID("LunMarMiéJueVieSábDom",(WEEKDAY(B32,2)-1)*3+1,3))</f>
        <v/>
      </c>
      <c r="L32" s="31">
        <f>L31+1</f>
        <v/>
      </c>
      <c r="M32" s="15">
        <f>MID("LunMarMiéJueVieSábDom",(WEEKDAY(L32,2)-1)*3+1,3)</f>
        <v/>
      </c>
      <c r="N32" s="17">
        <f>SUMIF($B$8:$B$47,L32,$E$8:$E$47)</f>
        <v/>
      </c>
      <c r="O32" s="17">
        <f>IF(AND(N32&gt;0,N32&gt;=$P$6),1,0)</f>
        <v/>
      </c>
      <c r="P32" s="17">
        <f>IF(O32=1,P31+1,0)</f>
        <v/>
      </c>
    </row>
    <row r="33">
      <c r="B33" s="27" t="n"/>
      <c r="C33" s="29" t="n"/>
      <c r="D33" s="29" t="n"/>
      <c r="E33" s="28" t="n"/>
      <c r="F33" s="29" t="n"/>
      <c r="G33" s="28" t="n"/>
      <c r="H33" s="30">
        <f>IF(E33="","",E33/60)</f>
        <v/>
      </c>
      <c r="I33" s="31">
        <f>IF(B33="","",B33-WEEKDAY(B33,2)+1)</f>
        <v/>
      </c>
      <c r="J33" s="15">
        <f>IF(B33="","",MID("LunMarMiéJueVieSábDom",(WEEKDAY(B33,2)-1)*3+1,3))</f>
        <v/>
      </c>
      <c r="L33" s="31">
        <f>L32+1</f>
        <v/>
      </c>
      <c r="M33" s="15">
        <f>MID("LunMarMiéJueVieSábDom",(WEEKDAY(L33,2)-1)*3+1,3)</f>
        <v/>
      </c>
      <c r="N33" s="17">
        <f>SUMIF($B$8:$B$47,L33,$E$8:$E$47)</f>
        <v/>
      </c>
      <c r="O33" s="17">
        <f>IF(AND(N33&gt;0,N33&gt;=$P$6),1,0)</f>
        <v/>
      </c>
      <c r="P33" s="17">
        <f>IF(O33=1,P32+1,0)</f>
        <v/>
      </c>
    </row>
    <row r="34">
      <c r="B34" s="27" t="n"/>
      <c r="C34" s="29" t="n"/>
      <c r="D34" s="29" t="n"/>
      <c r="E34" s="28" t="n"/>
      <c r="F34" s="29" t="n"/>
      <c r="G34" s="28" t="n"/>
      <c r="H34" s="30">
        <f>IF(E34="","",E34/60)</f>
        <v/>
      </c>
      <c r="I34" s="31">
        <f>IF(B34="","",B34-WEEKDAY(B34,2)+1)</f>
        <v/>
      </c>
      <c r="J34" s="15">
        <f>IF(B34="","",MID("LunMarMiéJueVieSábDom",(WEEKDAY(B34,2)-1)*3+1,3))</f>
        <v/>
      </c>
      <c r="L34" s="31">
        <f>L33+1</f>
        <v/>
      </c>
      <c r="M34" s="15">
        <f>MID("LunMarMiéJueVieSábDom",(WEEKDAY(L34,2)-1)*3+1,3)</f>
        <v/>
      </c>
      <c r="N34" s="17">
        <f>SUMIF($B$8:$B$47,L34,$E$8:$E$47)</f>
        <v/>
      </c>
      <c r="O34" s="17">
        <f>IF(AND(N34&gt;0,N34&gt;=$P$6),1,0)</f>
        <v/>
      </c>
      <c r="P34" s="17">
        <f>IF(O34=1,P33+1,0)</f>
        <v/>
      </c>
    </row>
    <row r="35">
      <c r="B35" s="27" t="n"/>
      <c r="C35" s="29" t="n"/>
      <c r="D35" s="29" t="n"/>
      <c r="E35" s="28" t="n"/>
      <c r="F35" s="29" t="n"/>
      <c r="G35" s="28" t="n"/>
      <c r="H35" s="30">
        <f>IF(E35="","",E35/60)</f>
        <v/>
      </c>
      <c r="I35" s="31">
        <f>IF(B35="","",B35-WEEKDAY(B35,2)+1)</f>
        <v/>
      </c>
      <c r="J35" s="15">
        <f>IF(B35="","",MID("LunMarMiéJueVieSábDom",(WEEKDAY(B35,2)-1)*3+1,3))</f>
        <v/>
      </c>
      <c r="L35" s="31">
        <f>L34+1</f>
        <v/>
      </c>
      <c r="M35" s="15">
        <f>MID("LunMarMiéJueVieSábDom",(WEEKDAY(L35,2)-1)*3+1,3)</f>
        <v/>
      </c>
      <c r="N35" s="17">
        <f>SUMIF($B$8:$B$47,L35,$E$8:$E$47)</f>
        <v/>
      </c>
      <c r="O35" s="17">
        <f>IF(AND(N35&gt;0,N35&gt;=$P$6),1,0)</f>
        <v/>
      </c>
      <c r="P35" s="17">
        <f>IF(O35=1,P34+1,0)</f>
        <v/>
      </c>
    </row>
    <row r="36">
      <c r="B36" s="27" t="n"/>
      <c r="C36" s="29" t="n"/>
      <c r="D36" s="29" t="n"/>
      <c r="E36" s="28" t="n"/>
      <c r="F36" s="29" t="n"/>
      <c r="G36" s="28" t="n"/>
      <c r="H36" s="30">
        <f>IF(E36="","",E36/60)</f>
        <v/>
      </c>
      <c r="I36" s="31">
        <f>IF(B36="","",B36-WEEKDAY(B36,2)+1)</f>
        <v/>
      </c>
      <c r="J36" s="15">
        <f>IF(B36="","",MID("LunMarMiéJueVieSábDom",(WEEKDAY(B36,2)-1)*3+1,3))</f>
        <v/>
      </c>
      <c r="L36" s="31">
        <f>L35+1</f>
        <v/>
      </c>
      <c r="M36" s="15">
        <f>MID("LunMarMiéJueVieSábDom",(WEEKDAY(L36,2)-1)*3+1,3)</f>
        <v/>
      </c>
      <c r="N36" s="17">
        <f>SUMIF($B$8:$B$47,L36,$E$8:$E$47)</f>
        <v/>
      </c>
      <c r="O36" s="17">
        <f>IF(AND(N36&gt;0,N36&gt;=$P$6),1,0)</f>
        <v/>
      </c>
      <c r="P36" s="17">
        <f>IF(O36=1,P35+1,0)</f>
        <v/>
      </c>
    </row>
    <row r="37">
      <c r="B37" s="27" t="n"/>
      <c r="C37" s="29" t="n"/>
      <c r="D37" s="29" t="n"/>
      <c r="E37" s="28" t="n"/>
      <c r="F37" s="29" t="n"/>
      <c r="G37" s="28" t="n"/>
      <c r="H37" s="30">
        <f>IF(E37="","",E37/60)</f>
        <v/>
      </c>
      <c r="I37" s="31">
        <f>IF(B37="","",B37-WEEKDAY(B37,2)+1)</f>
        <v/>
      </c>
      <c r="J37" s="15">
        <f>IF(B37="","",MID("LunMarMiéJueVieSábDom",(WEEKDAY(B37,2)-1)*3+1,3))</f>
        <v/>
      </c>
      <c r="L37" s="31">
        <f>L36+1</f>
        <v/>
      </c>
      <c r="M37" s="15">
        <f>MID("LunMarMiéJueVieSábDom",(WEEKDAY(L37,2)-1)*3+1,3)</f>
        <v/>
      </c>
      <c r="N37" s="17">
        <f>SUMIF($B$8:$B$47,L37,$E$8:$E$47)</f>
        <v/>
      </c>
      <c r="O37" s="17">
        <f>IF(AND(N37&gt;0,N37&gt;=$P$6),1,0)</f>
        <v/>
      </c>
      <c r="P37" s="17">
        <f>IF(O37=1,P36+1,0)</f>
        <v/>
      </c>
    </row>
    <row r="38">
      <c r="B38" s="27" t="n"/>
      <c r="C38" s="29" t="n"/>
      <c r="D38" s="29" t="n"/>
      <c r="E38" s="28" t="n"/>
      <c r="F38" s="29" t="n"/>
      <c r="G38" s="28" t="n"/>
      <c r="H38" s="30">
        <f>IF(E38="","",E38/60)</f>
        <v/>
      </c>
      <c r="I38" s="31">
        <f>IF(B38="","",B38-WEEKDAY(B38,2)+1)</f>
        <v/>
      </c>
      <c r="J38" s="15">
        <f>IF(B38="","",MID("LunMarMiéJueVieSábDom",(WEEKDAY(B38,2)-1)*3+1,3))</f>
        <v/>
      </c>
      <c r="L38" s="31">
        <f>L37+1</f>
        <v/>
      </c>
      <c r="M38" s="15">
        <f>MID("LunMarMiéJueVieSábDom",(WEEKDAY(L38,2)-1)*3+1,3)</f>
        <v/>
      </c>
      <c r="N38" s="17">
        <f>SUMIF($B$8:$B$47,L38,$E$8:$E$47)</f>
        <v/>
      </c>
      <c r="O38" s="17">
        <f>IF(AND(N38&gt;0,N38&gt;=$P$6),1,0)</f>
        <v/>
      </c>
      <c r="P38" s="17">
        <f>IF(O38=1,P37+1,0)</f>
        <v/>
      </c>
    </row>
    <row r="39">
      <c r="B39" s="27" t="n"/>
      <c r="C39" s="29" t="n"/>
      <c r="D39" s="29" t="n"/>
      <c r="E39" s="28" t="n"/>
      <c r="F39" s="29" t="n"/>
      <c r="G39" s="28" t="n"/>
      <c r="H39" s="30">
        <f>IF(E39="","",E39/60)</f>
        <v/>
      </c>
      <c r="I39" s="31">
        <f>IF(B39="","",B39-WEEKDAY(B39,2)+1)</f>
        <v/>
      </c>
      <c r="J39" s="15">
        <f>IF(B39="","",MID("LunMarMiéJueVieSábDom",(WEEKDAY(B39,2)-1)*3+1,3))</f>
        <v/>
      </c>
      <c r="L39" s="31">
        <f>L38+1</f>
        <v/>
      </c>
      <c r="M39" s="15">
        <f>MID("LunMarMiéJueVieSábDom",(WEEKDAY(L39,2)-1)*3+1,3)</f>
        <v/>
      </c>
      <c r="N39" s="17">
        <f>SUMIF($B$8:$B$47,L39,$E$8:$E$47)</f>
        <v/>
      </c>
      <c r="O39" s="17">
        <f>IF(AND(N39&gt;0,N39&gt;=$P$6),1,0)</f>
        <v/>
      </c>
      <c r="P39" s="17">
        <f>IF(O39=1,P38+1,0)</f>
        <v/>
      </c>
    </row>
    <row r="40">
      <c r="B40" s="27" t="n"/>
      <c r="C40" s="29" t="n"/>
      <c r="D40" s="29" t="n"/>
      <c r="E40" s="28" t="n"/>
      <c r="F40" s="29" t="n"/>
      <c r="G40" s="28" t="n"/>
      <c r="H40" s="30">
        <f>IF(E40="","",E40/60)</f>
        <v/>
      </c>
      <c r="I40" s="31">
        <f>IF(B40="","",B40-WEEKDAY(B40,2)+1)</f>
        <v/>
      </c>
      <c r="J40" s="15">
        <f>IF(B40="","",MID("LunMarMiéJueVieSábDom",(WEEKDAY(B40,2)-1)*3+1,3))</f>
        <v/>
      </c>
      <c r="L40" s="31">
        <f>L39+1</f>
        <v/>
      </c>
      <c r="M40" s="15">
        <f>MID("LunMarMiéJueVieSábDom",(WEEKDAY(L40,2)-1)*3+1,3)</f>
        <v/>
      </c>
      <c r="N40" s="17">
        <f>SUMIF($B$8:$B$47,L40,$E$8:$E$47)</f>
        <v/>
      </c>
      <c r="O40" s="17">
        <f>IF(AND(N40&gt;0,N40&gt;=$P$6),1,0)</f>
        <v/>
      </c>
      <c r="P40" s="17">
        <f>IF(O40=1,P39+1,0)</f>
        <v/>
      </c>
    </row>
    <row r="41">
      <c r="B41" s="27" t="n"/>
      <c r="C41" s="29" t="n"/>
      <c r="D41" s="29" t="n"/>
      <c r="E41" s="28" t="n"/>
      <c r="F41" s="29" t="n"/>
      <c r="G41" s="28" t="n"/>
      <c r="H41" s="30">
        <f>IF(E41="","",E41/60)</f>
        <v/>
      </c>
      <c r="I41" s="31">
        <f>IF(B41="","",B41-WEEKDAY(B41,2)+1)</f>
        <v/>
      </c>
      <c r="J41" s="15">
        <f>IF(B41="","",MID("LunMarMiéJueVieSábDom",(WEEKDAY(B41,2)-1)*3+1,3))</f>
        <v/>
      </c>
      <c r="L41" s="31">
        <f>L40+1</f>
        <v/>
      </c>
      <c r="M41" s="15">
        <f>MID("LunMarMiéJueVieSábDom",(WEEKDAY(L41,2)-1)*3+1,3)</f>
        <v/>
      </c>
      <c r="N41" s="17">
        <f>SUMIF($B$8:$B$47,L41,$E$8:$E$47)</f>
        <v/>
      </c>
      <c r="O41" s="17">
        <f>IF(AND(N41&gt;0,N41&gt;=$P$6),1,0)</f>
        <v/>
      </c>
      <c r="P41" s="17">
        <f>IF(O41=1,P40+1,0)</f>
        <v/>
      </c>
    </row>
    <row r="42">
      <c r="B42" s="27" t="n"/>
      <c r="C42" s="29" t="n"/>
      <c r="D42" s="29" t="n"/>
      <c r="E42" s="28" t="n"/>
      <c r="F42" s="29" t="n"/>
      <c r="G42" s="28" t="n"/>
      <c r="H42" s="30">
        <f>IF(E42="","",E42/60)</f>
        <v/>
      </c>
      <c r="I42" s="31">
        <f>IF(B42="","",B42-WEEKDAY(B42,2)+1)</f>
        <v/>
      </c>
      <c r="J42" s="15">
        <f>IF(B42="","",MID("LunMarMiéJueVieSábDom",(WEEKDAY(B42,2)-1)*3+1,3))</f>
        <v/>
      </c>
      <c r="L42" s="31">
        <f>L41+1</f>
        <v/>
      </c>
      <c r="M42" s="15">
        <f>MID("LunMarMiéJueVieSábDom",(WEEKDAY(L42,2)-1)*3+1,3)</f>
        <v/>
      </c>
      <c r="N42" s="17">
        <f>SUMIF($B$8:$B$47,L42,$E$8:$E$47)</f>
        <v/>
      </c>
      <c r="O42" s="17">
        <f>IF(AND(N42&gt;0,N42&gt;=$P$6),1,0)</f>
        <v/>
      </c>
      <c r="P42" s="17">
        <f>IF(O42=1,P41+1,0)</f>
        <v/>
      </c>
    </row>
    <row r="43">
      <c r="B43" s="27" t="n"/>
      <c r="C43" s="29" t="n"/>
      <c r="D43" s="29" t="n"/>
      <c r="E43" s="28" t="n"/>
      <c r="F43" s="29" t="n"/>
      <c r="G43" s="28" t="n"/>
      <c r="H43" s="30">
        <f>IF(E43="","",E43/60)</f>
        <v/>
      </c>
      <c r="I43" s="31">
        <f>IF(B43="","",B43-WEEKDAY(B43,2)+1)</f>
        <v/>
      </c>
      <c r="J43" s="15">
        <f>IF(B43="","",MID("LunMarMiéJueVieSábDom",(WEEKDAY(B43,2)-1)*3+1,3))</f>
        <v/>
      </c>
      <c r="L43" s="31">
        <f>L42+1</f>
        <v/>
      </c>
      <c r="M43" s="15">
        <f>MID("LunMarMiéJueVieSábDom",(WEEKDAY(L43,2)-1)*3+1,3)</f>
        <v/>
      </c>
      <c r="N43" s="17">
        <f>SUMIF($B$8:$B$47,L43,$E$8:$E$47)</f>
        <v/>
      </c>
      <c r="O43" s="17">
        <f>IF(AND(N43&gt;0,N43&gt;=$P$6),1,0)</f>
        <v/>
      </c>
      <c r="P43" s="17">
        <f>IF(O43=1,P42+1,0)</f>
        <v/>
      </c>
    </row>
    <row r="44">
      <c r="B44" s="27" t="n"/>
      <c r="C44" s="29" t="n"/>
      <c r="D44" s="29" t="n"/>
      <c r="E44" s="28" t="n"/>
      <c r="F44" s="29" t="n"/>
      <c r="G44" s="28" t="n"/>
      <c r="H44" s="30">
        <f>IF(E44="","",E44/60)</f>
        <v/>
      </c>
      <c r="I44" s="31">
        <f>IF(B44="","",B44-WEEKDAY(B44,2)+1)</f>
        <v/>
      </c>
      <c r="J44" s="15">
        <f>IF(B44="","",MID("LunMarMiéJueVieSábDom",(WEEKDAY(B44,2)-1)*3+1,3))</f>
        <v/>
      </c>
      <c r="L44" s="31">
        <f>L43+1</f>
        <v/>
      </c>
      <c r="M44" s="15">
        <f>MID("LunMarMiéJueVieSábDom",(WEEKDAY(L44,2)-1)*3+1,3)</f>
        <v/>
      </c>
      <c r="N44" s="17">
        <f>SUMIF($B$8:$B$47,L44,$E$8:$E$47)</f>
        <v/>
      </c>
      <c r="O44" s="17">
        <f>IF(AND(N44&gt;0,N44&gt;=$P$6),1,0)</f>
        <v/>
      </c>
      <c r="P44" s="17">
        <f>IF(O44=1,P43+1,0)</f>
        <v/>
      </c>
    </row>
    <row r="45">
      <c r="B45" s="27" t="n"/>
      <c r="C45" s="29" t="n"/>
      <c r="D45" s="29" t="n"/>
      <c r="E45" s="28" t="n"/>
      <c r="F45" s="29" t="n"/>
      <c r="G45" s="28" t="n"/>
      <c r="H45" s="30">
        <f>IF(E45="","",E45/60)</f>
        <v/>
      </c>
      <c r="I45" s="31">
        <f>IF(B45="","",B45-WEEKDAY(B45,2)+1)</f>
        <v/>
      </c>
      <c r="J45" s="15">
        <f>IF(B45="","",MID("LunMarMiéJueVieSábDom",(WEEKDAY(B45,2)-1)*3+1,3))</f>
        <v/>
      </c>
      <c r="L45" s="31">
        <f>L44+1</f>
        <v/>
      </c>
      <c r="M45" s="15">
        <f>MID("LunMarMiéJueVieSábDom",(WEEKDAY(L45,2)-1)*3+1,3)</f>
        <v/>
      </c>
      <c r="N45" s="17">
        <f>SUMIF($B$8:$B$47,L45,$E$8:$E$47)</f>
        <v/>
      </c>
      <c r="O45" s="17">
        <f>IF(AND(N45&gt;0,N45&gt;=$P$6),1,0)</f>
        <v/>
      </c>
      <c r="P45" s="17">
        <f>IF(O45=1,P44+1,0)</f>
        <v/>
      </c>
    </row>
    <row r="46">
      <c r="B46" s="27" t="n"/>
      <c r="C46" s="29" t="n"/>
      <c r="D46" s="29" t="n"/>
      <c r="E46" s="28" t="n"/>
      <c r="F46" s="29" t="n"/>
      <c r="G46" s="28" t="n"/>
      <c r="H46" s="30">
        <f>IF(E46="","",E46/60)</f>
        <v/>
      </c>
      <c r="I46" s="31">
        <f>IF(B46="","",B46-WEEKDAY(B46,2)+1)</f>
        <v/>
      </c>
      <c r="J46" s="15">
        <f>IF(B46="","",MID("LunMarMiéJueVieSábDom",(WEEKDAY(B46,2)-1)*3+1,3))</f>
        <v/>
      </c>
      <c r="L46" s="31">
        <f>L45+1</f>
        <v/>
      </c>
      <c r="M46" s="15">
        <f>MID("LunMarMiéJueVieSábDom",(WEEKDAY(L46,2)-1)*3+1,3)</f>
        <v/>
      </c>
      <c r="N46" s="17">
        <f>SUMIF($B$8:$B$47,L46,$E$8:$E$47)</f>
        <v/>
      </c>
      <c r="O46" s="17">
        <f>IF(AND(N46&gt;0,N46&gt;=$P$6),1,0)</f>
        <v/>
      </c>
      <c r="P46" s="17">
        <f>IF(O46=1,P45+1,0)</f>
        <v/>
      </c>
    </row>
    <row r="47">
      <c r="B47" s="27" t="n"/>
      <c r="C47" s="29" t="n"/>
      <c r="D47" s="29" t="n"/>
      <c r="E47" s="28" t="n"/>
      <c r="F47" s="29" t="n"/>
      <c r="G47" s="28" t="n"/>
      <c r="H47" s="30">
        <f>IF(E47="","",E47/60)</f>
        <v/>
      </c>
      <c r="I47" s="31">
        <f>IF(B47="","",B47-WEEKDAY(B47,2)+1)</f>
        <v/>
      </c>
      <c r="J47" s="15">
        <f>IF(B47="","",MID("LunMarMiéJueVieSábDom",(WEEKDAY(B47,2)-1)*3+1,3))</f>
        <v/>
      </c>
      <c r="L47" s="31">
        <f>L46+1</f>
        <v/>
      </c>
      <c r="M47" s="15">
        <f>MID("LunMarMiéJueVieSábDom",(WEEKDAY(L47,2)-1)*3+1,3)</f>
        <v/>
      </c>
      <c r="N47" s="17">
        <f>SUMIF($B$8:$B$47,L47,$E$8:$E$47)</f>
        <v/>
      </c>
      <c r="O47" s="17">
        <f>IF(AND(N47&gt;0,N47&gt;=$P$6),1,0)</f>
        <v/>
      </c>
      <c r="P47" s="17">
        <f>IF(O47=1,P46+1,0)</f>
        <v/>
      </c>
    </row>
    <row r="48">
      <c r="B48" s="21" t="inlineStr">
        <is>
          <t>Total</t>
        </is>
      </c>
      <c r="C48" s="21" t="inlineStr"/>
      <c r="D48" s="21" t="inlineStr"/>
      <c r="E48" s="22">
        <f>SUM(E8:E47)</f>
        <v/>
      </c>
      <c r="F48" s="21" t="inlineStr"/>
      <c r="G48" s="21" t="inlineStr"/>
      <c r="H48" s="23">
        <f>SUM(H8:H47)</f>
        <v/>
      </c>
      <c r="I48" s="21" t="inlineStr"/>
      <c r="J48" s="21" t="inlineStr"/>
      <c r="L48" s="31">
        <f>L47+1</f>
        <v/>
      </c>
      <c r="M48" s="15">
        <f>MID("LunMarMiéJueVieSábDom",(WEEKDAY(L48,2)-1)*3+1,3)</f>
        <v/>
      </c>
      <c r="N48" s="17">
        <f>SUMIF($B$8:$B$47,L48,$E$8:$E$47)</f>
        <v/>
      </c>
      <c r="O48" s="17">
        <f>IF(AND(N48&gt;0,N48&gt;=$P$6),1,0)</f>
        <v/>
      </c>
      <c r="P48" s="17">
        <f>IF(O48=1,P47+1,0)</f>
        <v/>
      </c>
    </row>
    <row r="49">
      <c r="L49" s="31">
        <f>L48+1</f>
        <v/>
      </c>
      <c r="M49" s="15">
        <f>MID("LunMarMiéJueVieSábDom",(WEEKDAY(L49,2)-1)*3+1,3)</f>
        <v/>
      </c>
      <c r="N49" s="17">
        <f>SUMIF($B$8:$B$47,L49,$E$8:$E$47)</f>
        <v/>
      </c>
      <c r="O49" s="17">
        <f>IF(AND(N49&gt;0,N49&gt;=$P$6),1,0)</f>
        <v/>
      </c>
      <c r="P49" s="17">
        <f>IF(O49=1,P48+1,0)</f>
        <v/>
      </c>
    </row>
    <row r="50">
      <c r="L50" s="31">
        <f>L49+1</f>
        <v/>
      </c>
      <c r="M50" s="15">
        <f>MID("LunMarMiéJueVieSábDom",(WEEKDAY(L50,2)-1)*3+1,3)</f>
        <v/>
      </c>
      <c r="N50" s="17">
        <f>SUMIF($B$8:$B$47,L50,$E$8:$E$47)</f>
        <v/>
      </c>
      <c r="O50" s="17">
        <f>IF(AND(N50&gt;0,N50&gt;=$P$6),1,0)</f>
        <v/>
      </c>
      <c r="P50" s="17">
        <f>IF(O50=1,P49+1,0)</f>
        <v/>
      </c>
    </row>
    <row r="51">
      <c r="L51" s="31">
        <f>L50+1</f>
        <v/>
      </c>
      <c r="M51" s="15">
        <f>MID("LunMarMiéJueVieSábDom",(WEEKDAY(L51,2)-1)*3+1,3)</f>
        <v/>
      </c>
      <c r="N51" s="17">
        <f>SUMIF($B$8:$B$47,L51,$E$8:$E$47)</f>
        <v/>
      </c>
      <c r="O51" s="17">
        <f>IF(AND(N51&gt;0,N51&gt;=$P$6),1,0)</f>
        <v/>
      </c>
      <c r="P51" s="17">
        <f>IF(O51=1,P50+1,0)</f>
        <v/>
      </c>
    </row>
    <row r="52">
      <c r="L52" s="31">
        <f>L51+1</f>
        <v/>
      </c>
      <c r="M52" s="15">
        <f>MID("LunMarMiéJueVieSábDom",(WEEKDAY(L52,2)-1)*3+1,3)</f>
        <v/>
      </c>
      <c r="N52" s="17">
        <f>SUMIF($B$8:$B$47,L52,$E$8:$E$47)</f>
        <v/>
      </c>
      <c r="O52" s="17">
        <f>IF(AND(N52&gt;0,N52&gt;=$P$6),1,0)</f>
        <v/>
      </c>
      <c r="P52" s="17">
        <f>IF(O52=1,P51+1,0)</f>
        <v/>
      </c>
    </row>
    <row r="53">
      <c r="L53" s="31">
        <f>L52+1</f>
        <v/>
      </c>
      <c r="M53" s="15">
        <f>MID("LunMarMiéJueVieSábDom",(WEEKDAY(L53,2)-1)*3+1,3)</f>
        <v/>
      </c>
      <c r="N53" s="17">
        <f>SUMIF($B$8:$B$47,L53,$E$8:$E$47)</f>
        <v/>
      </c>
      <c r="O53" s="17">
        <f>IF(AND(N53&gt;0,N53&gt;=$P$6),1,0)</f>
        <v/>
      </c>
      <c r="P53" s="17">
        <f>IF(O53=1,P52+1,0)</f>
        <v/>
      </c>
    </row>
    <row r="54">
      <c r="L54" s="31">
        <f>L53+1</f>
        <v/>
      </c>
      <c r="M54" s="15">
        <f>MID("LunMarMiéJueVieSábDom",(WEEKDAY(L54,2)-1)*3+1,3)</f>
        <v/>
      </c>
      <c r="N54" s="17">
        <f>SUMIF($B$8:$B$47,L54,$E$8:$E$47)</f>
        <v/>
      </c>
      <c r="O54" s="17">
        <f>IF(AND(N54&gt;0,N54&gt;=$P$6),1,0)</f>
        <v/>
      </c>
      <c r="P54" s="17">
        <f>IF(O54=1,P53+1,0)</f>
        <v/>
      </c>
    </row>
    <row r="55">
      <c r="L55" s="31">
        <f>L54+1</f>
        <v/>
      </c>
      <c r="M55" s="15">
        <f>MID("LunMarMiéJueVieSábDom",(WEEKDAY(L55,2)-1)*3+1,3)</f>
        <v/>
      </c>
      <c r="N55" s="17">
        <f>SUMIF($B$8:$B$47,L55,$E$8:$E$47)</f>
        <v/>
      </c>
      <c r="O55" s="17">
        <f>IF(AND(N55&gt;0,N55&gt;=$P$6),1,0)</f>
        <v/>
      </c>
      <c r="P55" s="17">
        <f>IF(O55=1,P54+1,0)</f>
        <v/>
      </c>
    </row>
    <row r="56">
      <c r="L56" s="31">
        <f>L55+1</f>
        <v/>
      </c>
      <c r="M56" s="15">
        <f>MID("LunMarMiéJueVieSábDom",(WEEKDAY(L56,2)-1)*3+1,3)</f>
        <v/>
      </c>
      <c r="N56" s="17">
        <f>SUMIF($B$8:$B$47,L56,$E$8:$E$47)</f>
        <v/>
      </c>
      <c r="O56" s="17">
        <f>IF(AND(N56&gt;0,N56&gt;=$P$6),1,0)</f>
        <v/>
      </c>
      <c r="P56" s="17">
        <f>IF(O56=1,P55+1,0)</f>
        <v/>
      </c>
    </row>
    <row r="57">
      <c r="L57" s="31">
        <f>L56+1</f>
        <v/>
      </c>
      <c r="M57" s="15">
        <f>MID("LunMarMiéJueVieSábDom",(WEEKDAY(L57,2)-1)*3+1,3)</f>
        <v/>
      </c>
      <c r="N57" s="17">
        <f>SUMIF($B$8:$B$47,L57,$E$8:$E$47)</f>
        <v/>
      </c>
      <c r="O57" s="17">
        <f>IF(AND(N57&gt;0,N57&gt;=$P$6),1,0)</f>
        <v/>
      </c>
      <c r="P57" s="17">
        <f>IF(O57=1,P56+1,0)</f>
        <v/>
      </c>
    </row>
    <row r="58">
      <c r="L58" s="31">
        <f>L57+1</f>
        <v/>
      </c>
      <c r="M58" s="15">
        <f>MID("LunMarMiéJueVieSábDom",(WEEKDAY(L58,2)-1)*3+1,3)</f>
        <v/>
      </c>
      <c r="N58" s="17">
        <f>SUMIF($B$8:$B$47,L58,$E$8:$E$47)</f>
        <v/>
      </c>
      <c r="O58" s="17">
        <f>IF(AND(N58&gt;0,N58&gt;=$P$6),1,0)</f>
        <v/>
      </c>
      <c r="P58" s="17">
        <f>IF(O58=1,P57+1,0)</f>
        <v/>
      </c>
    </row>
    <row r="59">
      <c r="L59" s="31">
        <f>L58+1</f>
        <v/>
      </c>
      <c r="M59" s="15">
        <f>MID("LunMarMiéJueVieSábDom",(WEEKDAY(L59,2)-1)*3+1,3)</f>
        <v/>
      </c>
      <c r="N59" s="17">
        <f>SUMIF($B$8:$B$47,L59,$E$8:$E$47)</f>
        <v/>
      </c>
      <c r="O59" s="17">
        <f>IF(AND(N59&gt;0,N59&gt;=$P$6),1,0)</f>
        <v/>
      </c>
      <c r="P59" s="17">
        <f>IF(O59=1,P58+1,0)</f>
        <v/>
      </c>
    </row>
    <row r="60">
      <c r="L60" s="31">
        <f>L59+1</f>
        <v/>
      </c>
      <c r="M60" s="15">
        <f>MID("LunMarMiéJueVieSábDom",(WEEKDAY(L60,2)-1)*3+1,3)</f>
        <v/>
      </c>
      <c r="N60" s="17">
        <f>SUMIF($B$8:$B$47,L60,$E$8:$E$47)</f>
        <v/>
      </c>
      <c r="O60" s="17">
        <f>IF(AND(N60&gt;0,N60&gt;=$P$6),1,0)</f>
        <v/>
      </c>
      <c r="P60" s="17">
        <f>IF(O60=1,P59+1,0)</f>
        <v/>
      </c>
    </row>
    <row r="61">
      <c r="L61" s="31">
        <f>L60+1</f>
        <v/>
      </c>
      <c r="M61" s="15">
        <f>MID("LunMarMiéJueVieSábDom",(WEEKDAY(L61,2)-1)*3+1,3)</f>
        <v/>
      </c>
      <c r="N61" s="17">
        <f>SUMIF($B$8:$B$47,L61,$E$8:$E$47)</f>
        <v/>
      </c>
      <c r="O61" s="17">
        <f>IF(AND(N61&gt;0,N61&gt;=$P$6),1,0)</f>
        <v/>
      </c>
      <c r="P61" s="17">
        <f>IF(O61=1,P60+1,0)</f>
        <v/>
      </c>
    </row>
    <row r="62">
      <c r="L62" s="31">
        <f>L61+1</f>
        <v/>
      </c>
      <c r="M62" s="15">
        <f>MID("LunMarMiéJueVieSábDom",(WEEKDAY(L62,2)-1)*3+1,3)</f>
        <v/>
      </c>
      <c r="N62" s="17">
        <f>SUMIF($B$8:$B$47,L62,$E$8:$E$47)</f>
        <v/>
      </c>
      <c r="O62" s="17">
        <f>IF(AND(N62&gt;0,N62&gt;=$P$6),1,0)</f>
        <v/>
      </c>
      <c r="P62" s="17">
        <f>IF(O62=1,P61+1,0)</f>
        <v/>
      </c>
    </row>
    <row r="63">
      <c r="L63" s="31">
        <f>L62+1</f>
        <v/>
      </c>
      <c r="M63" s="15">
        <f>MID("LunMarMiéJueVieSábDom",(WEEKDAY(L63,2)-1)*3+1,3)</f>
        <v/>
      </c>
      <c r="N63" s="17">
        <f>SUMIF($B$8:$B$47,L63,$E$8:$E$47)</f>
        <v/>
      </c>
      <c r="O63" s="17">
        <f>IF(AND(N63&gt;0,N63&gt;=$P$6),1,0)</f>
        <v/>
      </c>
      <c r="P63" s="17">
        <f>IF(O63=1,P62+1,0)</f>
        <v/>
      </c>
    </row>
    <row r="64">
      <c r="L64" s="31">
        <f>L63+1</f>
        <v/>
      </c>
      <c r="M64" s="15">
        <f>MID("LunMarMiéJueVieSábDom",(WEEKDAY(L64,2)-1)*3+1,3)</f>
        <v/>
      </c>
      <c r="N64" s="17">
        <f>SUMIF($B$8:$B$47,L64,$E$8:$E$47)</f>
        <v/>
      </c>
      <c r="O64" s="17">
        <f>IF(AND(N64&gt;0,N64&gt;=$P$6),1,0)</f>
        <v/>
      </c>
      <c r="P64" s="17">
        <f>IF(O64=1,P63+1,0)</f>
        <v/>
      </c>
    </row>
    <row r="65">
      <c r="L65" s="31">
        <f>L64+1</f>
        <v/>
      </c>
      <c r="M65" s="15">
        <f>MID("LunMarMiéJueVieSábDom",(WEEKDAY(L65,2)-1)*3+1,3)</f>
        <v/>
      </c>
      <c r="N65" s="17">
        <f>SUMIF($B$8:$B$47,L65,$E$8:$E$47)</f>
        <v/>
      </c>
      <c r="O65" s="17">
        <f>IF(AND(N65&gt;0,N65&gt;=$P$6),1,0)</f>
        <v/>
      </c>
      <c r="P65" s="17">
        <f>IF(O65=1,P64+1,0)</f>
        <v/>
      </c>
    </row>
    <row r="66">
      <c r="L66" s="31">
        <f>L65+1</f>
        <v/>
      </c>
      <c r="M66" s="15">
        <f>MID("LunMarMiéJueVieSábDom",(WEEKDAY(L66,2)-1)*3+1,3)</f>
        <v/>
      </c>
      <c r="N66" s="17">
        <f>SUMIF($B$8:$B$47,L66,$E$8:$E$47)</f>
        <v/>
      </c>
      <c r="O66" s="17">
        <f>IF(AND(N66&gt;0,N66&gt;=$P$6),1,0)</f>
        <v/>
      </c>
      <c r="P66" s="17">
        <f>IF(O66=1,P65+1,0)</f>
        <v/>
      </c>
    </row>
    <row r="67">
      <c r="L67" s="31">
        <f>L66+1</f>
        <v/>
      </c>
      <c r="M67" s="15">
        <f>MID("LunMarMiéJueVieSábDom",(WEEKDAY(L67,2)-1)*3+1,3)</f>
        <v/>
      </c>
      <c r="N67" s="17">
        <f>SUMIF($B$8:$B$47,L67,$E$8:$E$47)</f>
        <v/>
      </c>
      <c r="O67" s="17">
        <f>IF(AND(N67&gt;0,N67&gt;=$P$6),1,0)</f>
        <v/>
      </c>
      <c r="P67" s="17">
        <f>IF(O67=1,P66+1,0)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E8:E47">
    <cfRule type="dataBar" priority="1">
      <dataBar>
        <cfvo type="num" val="0"/>
        <cfvo type="max"/>
        <color rgb="0010B981"/>
      </dataBar>
    </cfRule>
  </conditionalFormatting>
  <conditionalFormatting sqref="G8:G47">
    <cfRule type="expression" priority="2" dxfId="1">
      <formula>AND(G8&lt;&gt;"",G8&lt;=2)</formula>
    </cfRule>
  </conditionalFormatting>
  <conditionalFormatting sqref="N8:N67">
    <cfRule type="dataBar" priority="3">
      <dataBar>
        <cfvo type="num" val="0"/>
        <cfvo type="max"/>
        <color rgb="0010B981"/>
      </dataBar>
    </cfRule>
  </conditionalFormatting>
  <conditionalFormatting sqref="L8:P67">
    <cfRule type="expression" priority="4" dxfId="0">
      <formula>$O8=1</formula>
    </cfRule>
  </conditionalFormatting>
  <conditionalFormatting sqref="M8:M67">
    <cfRule type="expression" priority="5" dxfId="3">
      <formula>OR($M8="Sáb",$M8="Dom")</formula>
    </cfRule>
  </conditionalFormatting>
  <dataValidations count="4">
    <dataValidation sqref="C8:C47" showDropDown="0" showInputMessage="0" showErrorMessage="0" allowBlank="1" type="list">
      <formula1>=Objetivos!$B$8:$B$12</formula1>
    </dataValidation>
    <dataValidation sqref="D8:D47" showDropDown="0" showInputMessage="0" showErrorMessage="0" allowBlank="1" type="list">
      <formula1>=Listas!$A$2:$A$7</formula1>
    </dataValidation>
    <dataValidation sqref="E8:E47" showDropDown="0" showInputMessage="0" showErrorMessage="1" allowBlank="1" errorTitle="Minutos" error="Escribe los minutos de la sesión (1 a 720)." type="whole" operator="between">
      <formula1>1</formula1>
      <formula2>720</formula2>
    </dataValidation>
    <dataValidation sqref="G8:G47" showDropDown="0" showInputMessage="0" showErrorMessage="1" allowBlank="1" errorTitle="Concentración" error="Valora de 1 a 5.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M27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2" customWidth="1" min="10" max="10"/>
    <col width="12" customWidth="1" min="11" max="11"/>
    <col width="14" customWidth="1" min="12" max="12"/>
    <col width="12" customWidth="1" min="13" max="13"/>
  </cols>
  <sheetData>
    <row r="2" ht="34" customHeight="1">
      <c r="B2" s="1" t="inlineStr">
        <is>
          <t>Plan semanal por destreza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Reparte los minutos que quieres dedicar a cada destreza cada día y compáralos con lo que registras.</t>
        </is>
      </c>
    </row>
    <row r="5">
      <c r="B5" s="33" t="inlineStr">
        <is>
          <t>Idioma:</t>
        </is>
      </c>
      <c r="C5" s="34" t="inlineStr">
        <is>
          <t>Todos</t>
        </is>
      </c>
      <c r="D5" s="35" t="n"/>
      <c r="F5" s="33" t="inlineStr">
        <is>
          <t>Semana de (vacío = esta):</t>
        </is>
      </c>
      <c r="G5" s="27" t="n"/>
      <c r="H5" s="35" t="n"/>
      <c r="I5" s="33" t="inlineStr">
        <is>
          <t>Lunes:</t>
        </is>
      </c>
      <c r="J5" s="36">
        <f>IF(G5="",TODAY(),G5)-WEEKDAY(IF(G5="",TODAY(),G5),2)+1</f>
        <v/>
      </c>
    </row>
    <row r="6">
      <c r="B6" s="37" t="inlineStr">
        <is>
          <t>Rellena los minutos planificados (crema) por día. El «Real» sale del Registro para el idioma y la semana elegidos.</t>
        </is>
      </c>
    </row>
    <row r="8" ht="30" customHeight="1">
      <c r="B8" s="13" t="inlineStr">
        <is>
          <t>Destreza</t>
        </is>
      </c>
      <c r="C8" s="13" t="inlineStr">
        <is>
          <t>Lun</t>
        </is>
      </c>
      <c r="D8" s="13" t="inlineStr">
        <is>
          <t>Mar</t>
        </is>
      </c>
      <c r="E8" s="13" t="inlineStr">
        <is>
          <t>Mié</t>
        </is>
      </c>
      <c r="F8" s="13" t="inlineStr">
        <is>
          <t>Jue</t>
        </is>
      </c>
      <c r="G8" s="13" t="inlineStr">
        <is>
          <t>Vie</t>
        </is>
      </c>
      <c r="H8" s="13" t="inlineStr">
        <is>
          <t>Sáb</t>
        </is>
      </c>
      <c r="I8" s="13" t="inlineStr">
        <is>
          <t>Dom</t>
        </is>
      </c>
      <c r="J8" s="13" t="inlineStr">
        <is>
          <t>Plan (min)</t>
        </is>
      </c>
      <c r="K8" s="13" t="inlineStr">
        <is>
          <t>Real (min)</t>
        </is>
      </c>
      <c r="L8" s="13" t="inlineStr">
        <is>
          <t>Cumplimiento</t>
        </is>
      </c>
      <c r="M8" s="13" t="inlineStr">
        <is>
          <t>Estado</t>
        </is>
      </c>
    </row>
    <row r="9">
      <c r="B9" s="38" t="inlineStr">
        <is>
          <t>Vocabulario</t>
        </is>
      </c>
      <c r="C9" s="39" t="n">
        <v>20</v>
      </c>
      <c r="D9" s="39" t="n">
        <v>20</v>
      </c>
      <c r="E9" s="39" t="n">
        <v>20</v>
      </c>
      <c r="F9" s="39" t="n">
        <v>20</v>
      </c>
      <c r="G9" s="39" t="n">
        <v>20</v>
      </c>
      <c r="H9" s="39" t="n">
        <v>0</v>
      </c>
      <c r="I9" s="39" t="n">
        <v>0</v>
      </c>
      <c r="J9" s="9">
        <f>SUM(C9:I9)</f>
        <v/>
      </c>
      <c r="K9" s="17">
        <f>J19</f>
        <v/>
      </c>
      <c r="L9" s="11">
        <f>IF(J9=0,"",K9/J9)</f>
        <v/>
      </c>
      <c r="M9" s="15">
        <f>IF(J9=0,"Sin plan",IF(L9&gt;=1,"Cumplido",IF(L9&gt;=0.6,"En camino","Atrasado")))</f>
        <v/>
      </c>
    </row>
    <row r="10">
      <c r="B10" s="38" t="inlineStr">
        <is>
          <t>Gramática</t>
        </is>
      </c>
      <c r="C10" s="39" t="n">
        <v>30</v>
      </c>
      <c r="D10" s="39" t="n">
        <v>0</v>
      </c>
      <c r="E10" s="39" t="n">
        <v>30</v>
      </c>
      <c r="F10" s="39" t="n">
        <v>0</v>
      </c>
      <c r="G10" s="39" t="n">
        <v>30</v>
      </c>
      <c r="H10" s="39" t="n">
        <v>0</v>
      </c>
      <c r="I10" s="39" t="n">
        <v>0</v>
      </c>
      <c r="J10" s="9">
        <f>SUM(C10:I10)</f>
        <v/>
      </c>
      <c r="K10" s="17">
        <f>J20</f>
        <v/>
      </c>
      <c r="L10" s="11">
        <f>IF(J10=0,"",K10/J10)</f>
        <v/>
      </c>
      <c r="M10" s="15">
        <f>IF(J10=0,"Sin plan",IF(L10&gt;=1,"Cumplido",IF(L10&gt;=0.6,"En camino","Atrasado")))</f>
        <v/>
      </c>
    </row>
    <row r="11">
      <c r="B11" s="38" t="inlineStr">
        <is>
          <t>Comprensión oral</t>
        </is>
      </c>
      <c r="C11" s="39" t="n">
        <v>0</v>
      </c>
      <c r="D11" s="39" t="n">
        <v>40</v>
      </c>
      <c r="E11" s="39" t="n">
        <v>0</v>
      </c>
      <c r="F11" s="39" t="n">
        <v>40</v>
      </c>
      <c r="G11" s="39" t="n">
        <v>0</v>
      </c>
      <c r="H11" s="39" t="n">
        <v>40</v>
      </c>
      <c r="I11" s="39" t="n">
        <v>0</v>
      </c>
      <c r="J11" s="9">
        <f>SUM(C11:I11)</f>
        <v/>
      </c>
      <c r="K11" s="17">
        <f>J21</f>
        <v/>
      </c>
      <c r="L11" s="11">
        <f>IF(J11=0,"",K11/J11)</f>
        <v/>
      </c>
      <c r="M11" s="15">
        <f>IF(J11=0,"Sin plan",IF(L11&gt;=1,"Cumplido",IF(L11&gt;=0.6,"En camino","Atrasado")))</f>
        <v/>
      </c>
    </row>
    <row r="12">
      <c r="B12" s="38" t="inlineStr">
        <is>
          <t>Comprensión lectora</t>
        </is>
      </c>
      <c r="C12" s="39" t="n">
        <v>0</v>
      </c>
      <c r="D12" s="39" t="n">
        <v>0</v>
      </c>
      <c r="E12" s="39" t="n">
        <v>30</v>
      </c>
      <c r="F12" s="39" t="n">
        <v>0</v>
      </c>
      <c r="G12" s="39" t="n">
        <v>0</v>
      </c>
      <c r="H12" s="39" t="n">
        <v>30</v>
      </c>
      <c r="I12" s="39" t="n">
        <v>0</v>
      </c>
      <c r="J12" s="9">
        <f>SUM(C12:I12)</f>
        <v/>
      </c>
      <c r="K12" s="17">
        <f>J22</f>
        <v/>
      </c>
      <c r="L12" s="11">
        <f>IF(J12=0,"",K12/J12)</f>
        <v/>
      </c>
      <c r="M12" s="15">
        <f>IF(J12=0,"Sin plan",IF(L12&gt;=1,"Cumplido",IF(L12&gt;=0.6,"En camino","Atrasado")))</f>
        <v/>
      </c>
    </row>
    <row r="13">
      <c r="B13" s="38" t="inlineStr">
        <is>
          <t>Expresión oral</t>
        </is>
      </c>
      <c r="C13" s="39" t="n">
        <v>0</v>
      </c>
      <c r="D13" s="39" t="n">
        <v>0</v>
      </c>
      <c r="E13" s="39" t="n">
        <v>45</v>
      </c>
      <c r="F13" s="39" t="n">
        <v>0</v>
      </c>
      <c r="G13" s="39" t="n">
        <v>45</v>
      </c>
      <c r="H13" s="39" t="n">
        <v>0</v>
      </c>
      <c r="I13" s="39" t="n">
        <v>0</v>
      </c>
      <c r="J13" s="9">
        <f>SUM(C13:I13)</f>
        <v/>
      </c>
      <c r="K13" s="17">
        <f>J23</f>
        <v/>
      </c>
      <c r="L13" s="11">
        <f>IF(J13=0,"",K13/J13)</f>
        <v/>
      </c>
      <c r="M13" s="15">
        <f>IF(J13=0,"Sin plan",IF(L13&gt;=1,"Cumplido",IF(L13&gt;=0.6,"En camino","Atrasado")))</f>
        <v/>
      </c>
    </row>
    <row r="14">
      <c r="B14" s="38" t="inlineStr">
        <is>
          <t>Expresión escrita</t>
        </is>
      </c>
      <c r="C14" s="39" t="n">
        <v>0</v>
      </c>
      <c r="D14" s="39" t="n">
        <v>30</v>
      </c>
      <c r="E14" s="39" t="n">
        <v>0</v>
      </c>
      <c r="F14" s="39" t="n">
        <v>0</v>
      </c>
      <c r="G14" s="39" t="n">
        <v>0</v>
      </c>
      <c r="H14" s="39" t="n">
        <v>0</v>
      </c>
      <c r="I14" s="39" t="n">
        <v>30</v>
      </c>
      <c r="J14" s="9">
        <f>SUM(C14:I14)</f>
        <v/>
      </c>
      <c r="K14" s="17">
        <f>J24</f>
        <v/>
      </c>
      <c r="L14" s="11">
        <f>IF(J14=0,"",K14/J14)</f>
        <v/>
      </c>
      <c r="M14" s="15">
        <f>IF(J14=0,"Sin plan",IF(L14&gt;=1,"Cumplido",IF(L14&gt;=0.6,"En camino","Atrasado")))</f>
        <v/>
      </c>
    </row>
    <row r="15">
      <c r="B15" s="21" t="inlineStr">
        <is>
          <t>Total semana</t>
        </is>
      </c>
      <c r="C15" s="25">
        <f>SUM(C9:C14)</f>
        <v/>
      </c>
      <c r="D15" s="25">
        <f>SUM(D9:D14)</f>
        <v/>
      </c>
      <c r="E15" s="25">
        <f>SUM(E9:E14)</f>
        <v/>
      </c>
      <c r="F15" s="25">
        <f>SUM(F9:F14)</f>
        <v/>
      </c>
      <c r="G15" s="25">
        <f>SUM(G9:G14)</f>
        <v/>
      </c>
      <c r="H15" s="25">
        <f>SUM(H9:H14)</f>
        <v/>
      </c>
      <c r="I15" s="25">
        <f>SUM(I9:I14)</f>
        <v/>
      </c>
      <c r="J15" s="25">
        <f>SUM(J9:J14)</f>
        <v/>
      </c>
      <c r="K15" s="25">
        <f>SUM(K9:K14)</f>
        <v/>
      </c>
      <c r="L15" s="24">
        <f>IF(J15=0,"",K15/J15)</f>
        <v/>
      </c>
      <c r="M15" s="21">
        <f>IF(J15=0,"Sin plan",IF(L15&gt;=1,"Cumplido",IF(L15&gt;=0.6,"En camino","Atrasado")))</f>
        <v/>
      </c>
    </row>
    <row r="17">
      <c r="B17" s="12" t="inlineStr">
        <is>
          <t>REAL REGISTRADO ESTA SEMANA (minutos)</t>
        </is>
      </c>
    </row>
    <row r="18" ht="26" customHeight="1">
      <c r="B18" s="13" t="inlineStr">
        <is>
          <t>Destreza</t>
        </is>
      </c>
      <c r="C18" s="13" t="inlineStr">
        <is>
          <t>Lun</t>
        </is>
      </c>
      <c r="D18" s="13" t="inlineStr">
        <is>
          <t>Mar</t>
        </is>
      </c>
      <c r="E18" s="13" t="inlineStr">
        <is>
          <t>Mié</t>
        </is>
      </c>
      <c r="F18" s="13" t="inlineStr">
        <is>
          <t>Jue</t>
        </is>
      </c>
      <c r="G18" s="13" t="inlineStr">
        <is>
          <t>Vie</t>
        </is>
      </c>
      <c r="H18" s="13" t="inlineStr">
        <is>
          <t>Sáb</t>
        </is>
      </c>
      <c r="I18" s="13" t="inlineStr">
        <is>
          <t>Dom</t>
        </is>
      </c>
      <c r="J18" s="13" t="inlineStr">
        <is>
          <t>Total (min)</t>
        </is>
      </c>
    </row>
    <row r="19">
      <c r="B19" s="38" t="inlineStr">
        <is>
          <t>Vocabulario</t>
        </is>
      </c>
      <c r="C19" s="40">
        <f>SUMIFS(Registro!$E$8:$E$47,Registro!$D$8:$D$47,$B19,Registro!$B$8:$B$47,$J$5+0,Registro!$C$8:$C$47,IF(OR($C$5="",$C$5="Todos"),"*",$C$5))</f>
        <v/>
      </c>
      <c r="D19" s="40">
        <f>SUMIFS(Registro!$E$8:$E$47,Registro!$D$8:$D$47,$B19,Registro!$B$8:$B$47,$J$5+1,Registro!$C$8:$C$47,IF(OR($C$5="",$C$5="Todos"),"*",$C$5))</f>
        <v/>
      </c>
      <c r="E19" s="40">
        <f>SUMIFS(Registro!$E$8:$E$47,Registro!$D$8:$D$47,$B19,Registro!$B$8:$B$47,$J$5+2,Registro!$C$8:$C$47,IF(OR($C$5="",$C$5="Todos"),"*",$C$5))</f>
        <v/>
      </c>
      <c r="F19" s="40">
        <f>SUMIFS(Registro!$E$8:$E$47,Registro!$D$8:$D$47,$B19,Registro!$B$8:$B$47,$J$5+3,Registro!$C$8:$C$47,IF(OR($C$5="",$C$5="Todos"),"*",$C$5))</f>
        <v/>
      </c>
      <c r="G19" s="40">
        <f>SUMIFS(Registro!$E$8:$E$47,Registro!$D$8:$D$47,$B19,Registro!$B$8:$B$47,$J$5+4,Registro!$C$8:$C$47,IF(OR($C$5="",$C$5="Todos"),"*",$C$5))</f>
        <v/>
      </c>
      <c r="H19" s="40">
        <f>SUMIFS(Registro!$E$8:$E$47,Registro!$D$8:$D$47,$B19,Registro!$B$8:$B$47,$J$5+5,Registro!$C$8:$C$47,IF(OR($C$5="",$C$5="Todos"),"*",$C$5))</f>
        <v/>
      </c>
      <c r="I19" s="40">
        <f>SUMIFS(Registro!$E$8:$E$47,Registro!$D$8:$D$47,$B19,Registro!$B$8:$B$47,$J$5+6,Registro!$C$8:$C$47,IF(OR($C$5="",$C$5="Todos"),"*",$C$5))</f>
        <v/>
      </c>
      <c r="J19" s="9">
        <f>SUM(C19:I19)</f>
        <v/>
      </c>
    </row>
    <row r="20">
      <c r="B20" s="38" t="inlineStr">
        <is>
          <t>Gramática</t>
        </is>
      </c>
      <c r="C20" s="40">
        <f>SUMIFS(Registro!$E$8:$E$47,Registro!$D$8:$D$47,$B20,Registro!$B$8:$B$47,$J$5+0,Registro!$C$8:$C$47,IF(OR($C$5="",$C$5="Todos"),"*",$C$5))</f>
        <v/>
      </c>
      <c r="D20" s="40">
        <f>SUMIFS(Registro!$E$8:$E$47,Registro!$D$8:$D$47,$B20,Registro!$B$8:$B$47,$J$5+1,Registro!$C$8:$C$47,IF(OR($C$5="",$C$5="Todos"),"*",$C$5))</f>
        <v/>
      </c>
      <c r="E20" s="40">
        <f>SUMIFS(Registro!$E$8:$E$47,Registro!$D$8:$D$47,$B20,Registro!$B$8:$B$47,$J$5+2,Registro!$C$8:$C$47,IF(OR($C$5="",$C$5="Todos"),"*",$C$5))</f>
        <v/>
      </c>
      <c r="F20" s="40">
        <f>SUMIFS(Registro!$E$8:$E$47,Registro!$D$8:$D$47,$B20,Registro!$B$8:$B$47,$J$5+3,Registro!$C$8:$C$47,IF(OR($C$5="",$C$5="Todos"),"*",$C$5))</f>
        <v/>
      </c>
      <c r="G20" s="40">
        <f>SUMIFS(Registro!$E$8:$E$47,Registro!$D$8:$D$47,$B20,Registro!$B$8:$B$47,$J$5+4,Registro!$C$8:$C$47,IF(OR($C$5="",$C$5="Todos"),"*",$C$5))</f>
        <v/>
      </c>
      <c r="H20" s="40">
        <f>SUMIFS(Registro!$E$8:$E$47,Registro!$D$8:$D$47,$B20,Registro!$B$8:$B$47,$J$5+5,Registro!$C$8:$C$47,IF(OR($C$5="",$C$5="Todos"),"*",$C$5))</f>
        <v/>
      </c>
      <c r="I20" s="40">
        <f>SUMIFS(Registro!$E$8:$E$47,Registro!$D$8:$D$47,$B20,Registro!$B$8:$B$47,$J$5+6,Registro!$C$8:$C$47,IF(OR($C$5="",$C$5="Todos"),"*",$C$5))</f>
        <v/>
      </c>
      <c r="J20" s="9">
        <f>SUM(C20:I20)</f>
        <v/>
      </c>
    </row>
    <row r="21">
      <c r="B21" s="38" t="inlineStr">
        <is>
          <t>Comprensión oral</t>
        </is>
      </c>
      <c r="C21" s="40">
        <f>SUMIFS(Registro!$E$8:$E$47,Registro!$D$8:$D$47,$B21,Registro!$B$8:$B$47,$J$5+0,Registro!$C$8:$C$47,IF(OR($C$5="",$C$5="Todos"),"*",$C$5))</f>
        <v/>
      </c>
      <c r="D21" s="40">
        <f>SUMIFS(Registro!$E$8:$E$47,Registro!$D$8:$D$47,$B21,Registro!$B$8:$B$47,$J$5+1,Registro!$C$8:$C$47,IF(OR($C$5="",$C$5="Todos"),"*",$C$5))</f>
        <v/>
      </c>
      <c r="E21" s="40">
        <f>SUMIFS(Registro!$E$8:$E$47,Registro!$D$8:$D$47,$B21,Registro!$B$8:$B$47,$J$5+2,Registro!$C$8:$C$47,IF(OR($C$5="",$C$5="Todos"),"*",$C$5))</f>
        <v/>
      </c>
      <c r="F21" s="40">
        <f>SUMIFS(Registro!$E$8:$E$47,Registro!$D$8:$D$47,$B21,Registro!$B$8:$B$47,$J$5+3,Registro!$C$8:$C$47,IF(OR($C$5="",$C$5="Todos"),"*",$C$5))</f>
        <v/>
      </c>
      <c r="G21" s="40">
        <f>SUMIFS(Registro!$E$8:$E$47,Registro!$D$8:$D$47,$B21,Registro!$B$8:$B$47,$J$5+4,Registro!$C$8:$C$47,IF(OR($C$5="",$C$5="Todos"),"*",$C$5))</f>
        <v/>
      </c>
      <c r="H21" s="40">
        <f>SUMIFS(Registro!$E$8:$E$47,Registro!$D$8:$D$47,$B21,Registro!$B$8:$B$47,$J$5+5,Registro!$C$8:$C$47,IF(OR($C$5="",$C$5="Todos"),"*",$C$5))</f>
        <v/>
      </c>
      <c r="I21" s="40">
        <f>SUMIFS(Registro!$E$8:$E$47,Registro!$D$8:$D$47,$B21,Registro!$B$8:$B$47,$J$5+6,Registro!$C$8:$C$47,IF(OR($C$5="",$C$5="Todos"),"*",$C$5))</f>
        <v/>
      </c>
      <c r="J21" s="9">
        <f>SUM(C21:I21)</f>
        <v/>
      </c>
    </row>
    <row r="22">
      <c r="B22" s="38" t="inlineStr">
        <is>
          <t>Comprensión lectora</t>
        </is>
      </c>
      <c r="C22" s="40">
        <f>SUMIFS(Registro!$E$8:$E$47,Registro!$D$8:$D$47,$B22,Registro!$B$8:$B$47,$J$5+0,Registro!$C$8:$C$47,IF(OR($C$5="",$C$5="Todos"),"*",$C$5))</f>
        <v/>
      </c>
      <c r="D22" s="40">
        <f>SUMIFS(Registro!$E$8:$E$47,Registro!$D$8:$D$47,$B22,Registro!$B$8:$B$47,$J$5+1,Registro!$C$8:$C$47,IF(OR($C$5="",$C$5="Todos"),"*",$C$5))</f>
        <v/>
      </c>
      <c r="E22" s="40">
        <f>SUMIFS(Registro!$E$8:$E$47,Registro!$D$8:$D$47,$B22,Registro!$B$8:$B$47,$J$5+2,Registro!$C$8:$C$47,IF(OR($C$5="",$C$5="Todos"),"*",$C$5))</f>
        <v/>
      </c>
      <c r="F22" s="40">
        <f>SUMIFS(Registro!$E$8:$E$47,Registro!$D$8:$D$47,$B22,Registro!$B$8:$B$47,$J$5+3,Registro!$C$8:$C$47,IF(OR($C$5="",$C$5="Todos"),"*",$C$5))</f>
        <v/>
      </c>
      <c r="G22" s="40">
        <f>SUMIFS(Registro!$E$8:$E$47,Registro!$D$8:$D$47,$B22,Registro!$B$8:$B$47,$J$5+4,Registro!$C$8:$C$47,IF(OR($C$5="",$C$5="Todos"),"*",$C$5))</f>
        <v/>
      </c>
      <c r="H22" s="40">
        <f>SUMIFS(Registro!$E$8:$E$47,Registro!$D$8:$D$47,$B22,Registro!$B$8:$B$47,$J$5+5,Registro!$C$8:$C$47,IF(OR($C$5="",$C$5="Todos"),"*",$C$5))</f>
        <v/>
      </c>
      <c r="I22" s="40">
        <f>SUMIFS(Registro!$E$8:$E$47,Registro!$D$8:$D$47,$B22,Registro!$B$8:$B$47,$J$5+6,Registro!$C$8:$C$47,IF(OR($C$5="",$C$5="Todos"),"*",$C$5))</f>
        <v/>
      </c>
      <c r="J22" s="9">
        <f>SUM(C22:I22)</f>
        <v/>
      </c>
    </row>
    <row r="23">
      <c r="B23" s="38" t="inlineStr">
        <is>
          <t>Expresión oral</t>
        </is>
      </c>
      <c r="C23" s="40">
        <f>SUMIFS(Registro!$E$8:$E$47,Registro!$D$8:$D$47,$B23,Registro!$B$8:$B$47,$J$5+0,Registro!$C$8:$C$47,IF(OR($C$5="",$C$5="Todos"),"*",$C$5))</f>
        <v/>
      </c>
      <c r="D23" s="40">
        <f>SUMIFS(Registro!$E$8:$E$47,Registro!$D$8:$D$47,$B23,Registro!$B$8:$B$47,$J$5+1,Registro!$C$8:$C$47,IF(OR($C$5="",$C$5="Todos"),"*",$C$5))</f>
        <v/>
      </c>
      <c r="E23" s="40">
        <f>SUMIFS(Registro!$E$8:$E$47,Registro!$D$8:$D$47,$B23,Registro!$B$8:$B$47,$J$5+2,Registro!$C$8:$C$47,IF(OR($C$5="",$C$5="Todos"),"*",$C$5))</f>
        <v/>
      </c>
      <c r="F23" s="40">
        <f>SUMIFS(Registro!$E$8:$E$47,Registro!$D$8:$D$47,$B23,Registro!$B$8:$B$47,$J$5+3,Registro!$C$8:$C$47,IF(OR($C$5="",$C$5="Todos"),"*",$C$5))</f>
        <v/>
      </c>
      <c r="G23" s="40">
        <f>SUMIFS(Registro!$E$8:$E$47,Registro!$D$8:$D$47,$B23,Registro!$B$8:$B$47,$J$5+4,Registro!$C$8:$C$47,IF(OR($C$5="",$C$5="Todos"),"*",$C$5))</f>
        <v/>
      </c>
      <c r="H23" s="40">
        <f>SUMIFS(Registro!$E$8:$E$47,Registro!$D$8:$D$47,$B23,Registro!$B$8:$B$47,$J$5+5,Registro!$C$8:$C$47,IF(OR($C$5="",$C$5="Todos"),"*",$C$5))</f>
        <v/>
      </c>
      <c r="I23" s="40">
        <f>SUMIFS(Registro!$E$8:$E$47,Registro!$D$8:$D$47,$B23,Registro!$B$8:$B$47,$J$5+6,Registro!$C$8:$C$47,IF(OR($C$5="",$C$5="Todos"),"*",$C$5))</f>
        <v/>
      </c>
      <c r="J23" s="9">
        <f>SUM(C23:I23)</f>
        <v/>
      </c>
    </row>
    <row r="24">
      <c r="B24" s="38" t="inlineStr">
        <is>
          <t>Expresión escrita</t>
        </is>
      </c>
      <c r="C24" s="40">
        <f>SUMIFS(Registro!$E$8:$E$47,Registro!$D$8:$D$47,$B24,Registro!$B$8:$B$47,$J$5+0,Registro!$C$8:$C$47,IF(OR($C$5="",$C$5="Todos"),"*",$C$5))</f>
        <v/>
      </c>
      <c r="D24" s="40">
        <f>SUMIFS(Registro!$E$8:$E$47,Registro!$D$8:$D$47,$B24,Registro!$B$8:$B$47,$J$5+1,Registro!$C$8:$C$47,IF(OR($C$5="",$C$5="Todos"),"*",$C$5))</f>
        <v/>
      </c>
      <c r="E24" s="40">
        <f>SUMIFS(Registro!$E$8:$E$47,Registro!$D$8:$D$47,$B24,Registro!$B$8:$B$47,$J$5+2,Registro!$C$8:$C$47,IF(OR($C$5="",$C$5="Todos"),"*",$C$5))</f>
        <v/>
      </c>
      <c r="F24" s="40">
        <f>SUMIFS(Registro!$E$8:$E$47,Registro!$D$8:$D$47,$B24,Registro!$B$8:$B$47,$J$5+3,Registro!$C$8:$C$47,IF(OR($C$5="",$C$5="Todos"),"*",$C$5))</f>
        <v/>
      </c>
      <c r="G24" s="40">
        <f>SUMIFS(Registro!$E$8:$E$47,Registro!$D$8:$D$47,$B24,Registro!$B$8:$B$47,$J$5+4,Registro!$C$8:$C$47,IF(OR($C$5="",$C$5="Todos"),"*",$C$5))</f>
        <v/>
      </c>
      <c r="H24" s="40">
        <f>SUMIFS(Registro!$E$8:$E$47,Registro!$D$8:$D$47,$B24,Registro!$B$8:$B$47,$J$5+5,Registro!$C$8:$C$47,IF(OR($C$5="",$C$5="Todos"),"*",$C$5))</f>
        <v/>
      </c>
      <c r="I24" s="40">
        <f>SUMIFS(Registro!$E$8:$E$47,Registro!$D$8:$D$47,$B24,Registro!$B$8:$B$47,$J$5+6,Registro!$C$8:$C$47,IF(OR($C$5="",$C$5="Todos"),"*",$C$5))</f>
        <v/>
      </c>
      <c r="J24" s="9">
        <f>SUM(C24:I24)</f>
        <v/>
      </c>
    </row>
    <row r="25">
      <c r="B25" s="21" t="inlineStr">
        <is>
          <t>Total semana</t>
        </is>
      </c>
      <c r="C25" s="25">
        <f>SUM(C19:C24)</f>
        <v/>
      </c>
      <c r="D25" s="25">
        <f>SUM(D19:D24)</f>
        <v/>
      </c>
      <c r="E25" s="25">
        <f>SUM(E19:E24)</f>
        <v/>
      </c>
      <c r="F25" s="25">
        <f>SUM(F19:F24)</f>
        <v/>
      </c>
      <c r="G25" s="25">
        <f>SUM(G19:G24)</f>
        <v/>
      </c>
      <c r="H25" s="25">
        <f>SUM(H19:H24)</f>
        <v/>
      </c>
      <c r="I25" s="25">
        <f>SUM(I19:I24)</f>
        <v/>
      </c>
      <c r="J25" s="25">
        <f>SUM(J19:J24)</f>
        <v/>
      </c>
    </row>
    <row r="27">
      <c r="B27" s="37" t="inlineStr">
        <is>
          <t>Verde: día cumplido. Ámbar: por debajo de lo planificado. Estado: Cumplido ≥ 100 %, En camino ≥ 60 %, Atrasado &lt; 60 %.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M3"/>
    <mergeCell ref="B2:M2"/>
    <mergeCell ref="C5:D5"/>
    <mergeCell ref="G5:H5"/>
  </mergeCells>
  <conditionalFormatting sqref="M9:M15">
    <cfRule type="cellIs" priority="1" operator="equal" dxfId="0">
      <formula>"Cumplido"</formula>
    </cfRule>
    <cfRule type="cellIs" priority="2" operator="equal" dxfId="1">
      <formula>"En camino"</formula>
    </cfRule>
    <cfRule type="cellIs" priority="3" operator="equal" dxfId="2">
      <formula>"Atrasado"</formula>
    </cfRule>
  </conditionalFormatting>
  <conditionalFormatting sqref="L9:L14">
    <cfRule type="dataBar" priority="4">
      <dataBar>
        <cfvo type="num" val="0"/>
        <cfvo type="max"/>
        <color rgb="0010B981"/>
      </dataBar>
    </cfRule>
  </conditionalFormatting>
  <conditionalFormatting sqref="C19:I24">
    <cfRule type="expression" priority="5" dxfId="0">
      <formula>AND(C9&gt;0,C19&gt;=C9)</formula>
    </cfRule>
    <cfRule type="expression" priority="6" dxfId="1">
      <formula>AND(C9&gt;0,C19&lt;C9)</formula>
    </cfRule>
  </conditionalFormatting>
  <dataValidations count="1">
    <dataValidation sqref="C5" showDropDown="0" showInputMessage="0" showErrorMessage="0" allowBlank="1" type="list">
      <formula1>=Listas!$C$2:$C$7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N24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1" customWidth="1" min="3" max="3"/>
    <col width="11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  <col width="11" customWidth="1" min="10" max="10"/>
    <col width="11" customWidth="1" min="11" max="11"/>
    <col width="13" customWidth="1" min="12" max="12"/>
    <col width="13" customWidth="1" min="13" max="13"/>
    <col width="17" customWidth="1" min="14" max="14"/>
  </cols>
  <sheetData>
    <row r="2" ht="34" customHeight="1">
      <c r="B2" s="1" t="inlineStr">
        <is>
          <t>Objetivos por idioma (MCER)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Nivel actual, nivel que quieres alcanzar, fecha límite y ritmo de estudio que necesitas para llegar.</t>
        </is>
      </c>
    </row>
    <row r="5">
      <c r="B5" s="33" t="inlineStr">
        <is>
          <t>Hoy:</t>
        </is>
      </c>
      <c r="C5" s="36">
        <f>TODAY()</f>
        <v/>
      </c>
    </row>
    <row r="7" ht="44" customHeight="1">
      <c r="B7" s="13" t="inlineStr">
        <is>
          <t>Idioma</t>
        </is>
      </c>
      <c r="C7" s="13" t="inlineStr">
        <is>
          <t>Nivel actual</t>
        </is>
      </c>
      <c r="D7" s="13" t="inlineStr">
        <is>
          <t>Nivel objetivo</t>
        </is>
      </c>
      <c r="E7" s="13" t="inlineStr">
        <is>
          <t>Inicio del plan</t>
        </is>
      </c>
      <c r="F7" s="13" t="inlineStr">
        <is>
          <t>Fecha objetivo</t>
        </is>
      </c>
      <c r="G7" s="13" t="inlineStr">
        <is>
          <t>Horas necesarias</t>
        </is>
      </c>
      <c r="H7" s="13" t="inlineStr">
        <is>
          <t>Horas registradas</t>
        </is>
      </c>
      <c r="I7" s="13" t="inlineStr">
        <is>
          <t>Progreso</t>
        </is>
      </c>
      <c r="J7" s="13" t="inlineStr">
        <is>
          <t>Horas que faltan</t>
        </is>
      </c>
      <c r="K7" s="13" t="inlineStr">
        <is>
          <t>Semanas hasta la fecha</t>
        </is>
      </c>
      <c r="L7" s="13" t="inlineStr">
        <is>
          <t>Horas/semana necesarias</t>
        </is>
      </c>
      <c r="M7" s="13" t="inlineStr">
        <is>
          <t>Horas/semana reales</t>
        </is>
      </c>
      <c r="N7" s="13" t="inlineStr">
        <is>
          <t>Situación</t>
        </is>
      </c>
    </row>
    <row r="8">
      <c r="B8" s="29" t="inlineStr">
        <is>
          <t>Inglés</t>
        </is>
      </c>
      <c r="C8" s="34" t="inlineStr">
        <is>
          <t>B1</t>
        </is>
      </c>
      <c r="D8" s="34" t="inlineStr">
        <is>
          <t>B2</t>
        </is>
      </c>
      <c r="E8" s="27" t="n">
        <v>46286</v>
      </c>
      <c r="F8" s="27" t="n">
        <v>46752</v>
      </c>
      <c r="G8" s="17">
        <f>IF(OR(B8="",C8="",D8=""),"",MAX(0,INDEX($C$17:$C$22,MATCH(D8,$B$17:$B$22,0))-INDEX($C$17:$C$22,MATCH(C8,$B$17:$B$22,0))))</f>
        <v/>
      </c>
      <c r="H8" s="16">
        <f>IF(B8="","",SUMIFS(Registro!$H$8:$H$47,Registro!$C$8:$C$47,B8,Registro!$B$8:$B$47,"&gt;="&amp;IF(E8="",0,E8)))</f>
        <v/>
      </c>
      <c r="I8" s="11">
        <f>IF(OR(G8="",G8=0),"",MIN(1,H8/G8))</f>
        <v/>
      </c>
      <c r="J8" s="16">
        <f>IF(G8="","",MAX(0,G8-H8))</f>
        <v/>
      </c>
      <c r="K8" s="16">
        <f>IF(F8="","",MAX(0,ROUND((F8-$C$5)/7,1)))</f>
        <v/>
      </c>
      <c r="L8" s="16">
        <f>IF(OR(K8="",J8=""),"",IF(K8=0,"-",ROUND(J8/K8,1)))</f>
        <v/>
      </c>
      <c r="M8" s="16">
        <f>IF(OR(B8="",E8=""),"",ROUND(H8/MAX(1,($C$5-E8)/7),1))</f>
        <v/>
      </c>
      <c r="N8" s="41">
        <f>IF(OR(J8="",M8=""),"",IF(J8&lt;=0,"Objetivo logrado",IF(L8="-","Fuera de plazo",IF(M8&gt;=L8,"En ritmo","Por debajo"))))</f>
        <v/>
      </c>
    </row>
    <row r="9">
      <c r="B9" s="29" t="inlineStr">
        <is>
          <t>Francés</t>
        </is>
      </c>
      <c r="C9" s="34" t="inlineStr">
        <is>
          <t>A2</t>
        </is>
      </c>
      <c r="D9" s="34" t="inlineStr">
        <is>
          <t>B1</t>
        </is>
      </c>
      <c r="E9" s="27" t="n">
        <v>46286</v>
      </c>
      <c r="F9" s="27" t="n">
        <v>46568</v>
      </c>
      <c r="G9" s="17">
        <f>IF(OR(B9="",C9="",D9=""),"",MAX(0,INDEX($C$17:$C$22,MATCH(D9,$B$17:$B$22,0))-INDEX($C$17:$C$22,MATCH(C9,$B$17:$B$22,0))))</f>
        <v/>
      </c>
      <c r="H9" s="16">
        <f>IF(B9="","",SUMIFS(Registro!$H$8:$H$47,Registro!$C$8:$C$47,B9,Registro!$B$8:$B$47,"&gt;="&amp;IF(E9="",0,E9)))</f>
        <v/>
      </c>
      <c r="I9" s="11">
        <f>IF(OR(G9="",G9=0),"",MIN(1,H9/G9))</f>
        <v/>
      </c>
      <c r="J9" s="16">
        <f>IF(G9="","",MAX(0,G9-H9))</f>
        <v/>
      </c>
      <c r="K9" s="16">
        <f>IF(F9="","",MAX(0,ROUND((F9-$C$5)/7,1)))</f>
        <v/>
      </c>
      <c r="L9" s="16">
        <f>IF(OR(K9="",J9=""),"",IF(K9=0,"-",ROUND(J9/K9,1)))</f>
        <v/>
      </c>
      <c r="M9" s="16">
        <f>IF(OR(B9="",E9=""),"",ROUND(H9/MAX(1,($C$5-E9)/7),1))</f>
        <v/>
      </c>
      <c r="N9" s="41">
        <f>IF(OR(J9="",M9=""),"",IF(J9&lt;=0,"Objetivo logrado",IF(L9="-","Fuera de plazo",IF(M9&gt;=L9,"En ritmo","Por debajo"))))</f>
        <v/>
      </c>
    </row>
    <row r="10">
      <c r="B10" s="29" t="inlineStr">
        <is>
          <t>Alemán</t>
        </is>
      </c>
      <c r="C10" s="34" t="inlineStr">
        <is>
          <t>A1</t>
        </is>
      </c>
      <c r="D10" s="34" t="inlineStr">
        <is>
          <t>A2</t>
        </is>
      </c>
      <c r="E10" s="27" t="n">
        <v>46286</v>
      </c>
      <c r="F10" s="27" t="n">
        <v>46752</v>
      </c>
      <c r="G10" s="17">
        <f>IF(OR(B10="",C10="",D10=""),"",MAX(0,INDEX($C$17:$C$22,MATCH(D10,$B$17:$B$22,0))-INDEX($C$17:$C$22,MATCH(C10,$B$17:$B$22,0))))</f>
        <v/>
      </c>
      <c r="H10" s="16">
        <f>IF(B10="","",SUMIFS(Registro!$H$8:$H$47,Registro!$C$8:$C$47,B10,Registro!$B$8:$B$47,"&gt;="&amp;IF(E10="",0,E10)))</f>
        <v/>
      </c>
      <c r="I10" s="11">
        <f>IF(OR(G10="",G10=0),"",MIN(1,H10/G10))</f>
        <v/>
      </c>
      <c r="J10" s="16">
        <f>IF(G10="","",MAX(0,G10-H10))</f>
        <v/>
      </c>
      <c r="K10" s="16">
        <f>IF(F10="","",MAX(0,ROUND((F10-$C$5)/7,1)))</f>
        <v/>
      </c>
      <c r="L10" s="16">
        <f>IF(OR(K10="",J10=""),"",IF(K10=0,"-",ROUND(J10/K10,1)))</f>
        <v/>
      </c>
      <c r="M10" s="16">
        <f>IF(OR(B10="",E10=""),"",ROUND(H10/MAX(1,($C$5-E10)/7),1))</f>
        <v/>
      </c>
      <c r="N10" s="41">
        <f>IF(OR(J10="",M10=""),"",IF(J10&lt;=0,"Objetivo logrado",IF(L10="-","Fuera de plazo",IF(M10&gt;=L10,"En ritmo","Por debajo"))))</f>
        <v/>
      </c>
    </row>
    <row r="11">
      <c r="B11" s="29" t="n"/>
      <c r="C11" s="34" t="n"/>
      <c r="D11" s="34" t="n"/>
      <c r="E11" s="27" t="n"/>
      <c r="F11" s="27" t="n"/>
      <c r="G11" s="17">
        <f>IF(OR(B11="",C11="",D11=""),"",MAX(0,INDEX($C$17:$C$22,MATCH(D11,$B$17:$B$22,0))-INDEX($C$17:$C$22,MATCH(C11,$B$17:$B$22,0))))</f>
        <v/>
      </c>
      <c r="H11" s="16">
        <f>IF(B11="","",SUMIFS(Registro!$H$8:$H$47,Registro!$C$8:$C$47,B11,Registro!$B$8:$B$47,"&gt;="&amp;IF(E11="",0,E11)))</f>
        <v/>
      </c>
      <c r="I11" s="11">
        <f>IF(OR(G11="",G11=0),"",MIN(1,H11/G11))</f>
        <v/>
      </c>
      <c r="J11" s="16">
        <f>IF(G11="","",MAX(0,G11-H11))</f>
        <v/>
      </c>
      <c r="K11" s="16">
        <f>IF(F11="","",MAX(0,ROUND((F11-$C$5)/7,1)))</f>
        <v/>
      </c>
      <c r="L11" s="16">
        <f>IF(OR(K11="",J11=""),"",IF(K11=0,"-",ROUND(J11/K11,1)))</f>
        <v/>
      </c>
      <c r="M11" s="16">
        <f>IF(OR(B11="",E11=""),"",ROUND(H11/MAX(1,($C$5-E11)/7),1))</f>
        <v/>
      </c>
      <c r="N11" s="41">
        <f>IF(OR(J11="",M11=""),"",IF(J11&lt;=0,"Objetivo logrado",IF(L11="-","Fuera de plazo",IF(M11&gt;=L11,"En ritmo","Por debajo"))))</f>
        <v/>
      </c>
    </row>
    <row r="12">
      <c r="B12" s="29" t="n"/>
      <c r="C12" s="34" t="n"/>
      <c r="D12" s="34" t="n"/>
      <c r="E12" s="27" t="n"/>
      <c r="F12" s="27" t="n"/>
      <c r="G12" s="17">
        <f>IF(OR(B12="",C12="",D12=""),"",MAX(0,INDEX($C$17:$C$22,MATCH(D12,$B$17:$B$22,0))-INDEX($C$17:$C$22,MATCH(C12,$B$17:$B$22,0))))</f>
        <v/>
      </c>
      <c r="H12" s="16">
        <f>IF(B12="","",SUMIFS(Registro!$H$8:$H$47,Registro!$C$8:$C$47,B12,Registro!$B$8:$B$47,"&gt;="&amp;IF(E12="",0,E12)))</f>
        <v/>
      </c>
      <c r="I12" s="11">
        <f>IF(OR(G12="",G12=0),"",MIN(1,H12/G12))</f>
        <v/>
      </c>
      <c r="J12" s="16">
        <f>IF(G12="","",MAX(0,G12-H12))</f>
        <v/>
      </c>
      <c r="K12" s="16">
        <f>IF(F12="","",MAX(0,ROUND((F12-$C$5)/7,1)))</f>
        <v/>
      </c>
      <c r="L12" s="16">
        <f>IF(OR(K12="",J12=""),"",IF(K12=0,"-",ROUND(J12/K12,1)))</f>
        <v/>
      </c>
      <c r="M12" s="16">
        <f>IF(OR(B12="",E12=""),"",ROUND(H12/MAX(1,($C$5-E12)/7),1))</f>
        <v/>
      </c>
      <c r="N12" s="41">
        <f>IF(OR(J12="",M12=""),"",IF(J12&lt;=0,"Objetivo logrado",IF(L12="-","Fuera de plazo",IF(M12&gt;=L12,"En ritmo","Por debajo"))))</f>
        <v/>
      </c>
    </row>
    <row r="14">
      <c r="B14" s="37" t="inlineStr">
        <is>
          <t>Horas/semana reales = horas registradas desde el inicio del plan dividido entre las semanas transcurridas (mínimo 1).</t>
        </is>
      </c>
    </row>
    <row r="15">
      <c r="B15" s="12" t="inlineStr">
        <is>
          <t>HORAS ORIENTATIVAS ACUMULADAS POR NIVEL (editables)</t>
        </is>
      </c>
    </row>
    <row r="16" ht="26" customHeight="1">
      <c r="B16" s="13" t="inlineStr">
        <is>
          <t>Nivel MCER</t>
        </is>
      </c>
      <c r="C16" s="13" t="inlineStr">
        <is>
          <t>Horas acumuladas</t>
        </is>
      </c>
      <c r="D16" s="13" t="inlineStr">
        <is>
          <t>Qué suele significar</t>
        </is>
      </c>
      <c r="E16" s="42" t="n"/>
      <c r="F16" s="42" t="n"/>
      <c r="G16" s="42" t="n"/>
      <c r="H16" s="43" t="n"/>
    </row>
    <row r="17">
      <c r="B17" s="44" t="inlineStr">
        <is>
          <t>A1</t>
        </is>
      </c>
      <c r="C17" s="45" t="n">
        <v>100</v>
      </c>
      <c r="D17" s="46" t="inlineStr">
        <is>
          <t>Frases y necesidades básicas</t>
        </is>
      </c>
    </row>
    <row r="18">
      <c r="B18" s="44" t="inlineStr">
        <is>
          <t>A2</t>
        </is>
      </c>
      <c r="C18" s="45" t="n">
        <v>200</v>
      </c>
      <c r="D18" s="46" t="inlineStr">
        <is>
          <t>Situaciones cotidianas sencillas</t>
        </is>
      </c>
    </row>
    <row r="19">
      <c r="B19" s="44" t="inlineStr">
        <is>
          <t>B1</t>
        </is>
      </c>
      <c r="C19" s="45" t="n">
        <v>400</v>
      </c>
      <c r="D19" s="46" t="inlineStr">
        <is>
          <t>Desenvolverse en viajes y temas conocidos</t>
        </is>
      </c>
    </row>
    <row r="20">
      <c r="B20" s="44" t="inlineStr">
        <is>
          <t>B2</t>
        </is>
      </c>
      <c r="C20" s="45" t="n">
        <v>600</v>
      </c>
      <c r="D20" s="46" t="inlineStr">
        <is>
          <t>Conversación fluida y textos complejos</t>
        </is>
      </c>
    </row>
    <row r="21">
      <c r="B21" s="44" t="inlineStr">
        <is>
          <t>C1</t>
        </is>
      </c>
      <c r="C21" s="45" t="n">
        <v>800</v>
      </c>
      <c r="D21" s="46" t="inlineStr">
        <is>
          <t>Uso flexible y eficaz del idioma</t>
        </is>
      </c>
    </row>
    <row r="22">
      <c r="B22" s="44" t="inlineStr">
        <is>
          <t>C2</t>
        </is>
      </c>
      <c r="C22" s="45" t="n">
        <v>1000</v>
      </c>
      <c r="D22" s="46" t="inlineStr">
        <is>
          <t>Dominio casi nativo</t>
        </is>
      </c>
    </row>
    <row r="24">
      <c r="B24" s="37" t="inlineStr">
        <is>
          <t>Son cifras orientativas (acumuladas desde cero) y puedes cambiarlas: varían según el idioma, tu lengua materna y tu método.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9">
    <mergeCell ref="B2:N2"/>
    <mergeCell ref="D21:H21"/>
    <mergeCell ref="D20:H20"/>
    <mergeCell ref="D16:H16"/>
    <mergeCell ref="D19:H19"/>
    <mergeCell ref="D22:H22"/>
    <mergeCell ref="B3:N3"/>
    <mergeCell ref="D18:H18"/>
    <mergeCell ref="D17:H17"/>
  </mergeCells>
  <conditionalFormatting sqref="N8:N12">
    <cfRule type="cellIs" priority="1" operator="equal" dxfId="0">
      <formula>"En ritmo"</formula>
    </cfRule>
    <cfRule type="cellIs" priority="2" operator="equal" dxfId="0">
      <formula>"Objetivo logrado"</formula>
    </cfRule>
    <cfRule type="cellIs" priority="3" operator="equal" dxfId="1">
      <formula>"Por debajo"</formula>
    </cfRule>
    <cfRule type="cellIs" priority="4" operator="equal" dxfId="2">
      <formula>"Fuera de plazo"</formula>
    </cfRule>
  </conditionalFormatting>
  <conditionalFormatting sqref="I8:I12">
    <cfRule type="dataBar" priority="5">
      <dataBar>
        <cfvo type="num" val="0"/>
        <cfvo type="max"/>
        <color rgb="0010B981"/>
      </dataBar>
    </cfRule>
  </conditionalFormatting>
  <dataValidations count="1">
    <dataValidation sqref="C8:D12" showDropDown="0" showInputMessage="0" showErrorMessage="0" allowBlank="1" type="list">
      <formula1>=Listas!$B$2:$B$7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 de estudio de idiomas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2" t="inlineStr">
        <is>
          <t>CÓMO USARLA</t>
        </is>
      </c>
    </row>
    <row r="6" ht="30" customHeight="1">
      <c r="B6" s="47" t="inlineStr">
        <is>
          <t>1.  En «Objetivos» escribe tus idiomas (hasta 5), tu nivel actual y el nivel MCER al que quieres llegar (A1 a C2) con su fecha de inicio y fecha objetivo.</t>
        </is>
      </c>
    </row>
    <row r="7" ht="30" customHeight="1">
      <c r="B7" s="47" t="inlineStr">
        <is>
          <t>2.  Revisa la tabla de horas orientativas por nivel (B17:C22 de «Objetivos»): son cifras editables que sirven para estimar cuántas horas necesitas.</t>
        </is>
      </c>
    </row>
    <row r="8" ht="30" customHeight="1">
      <c r="B8" s="47" t="inlineStr">
        <is>
          <t>3.  En «Plan semanal» reparte los minutos que quieres dedicar a cada destreza cada día (celdas crema, de lunes a domingo).</t>
        </is>
      </c>
    </row>
    <row r="9" ht="30" customHeight="1">
      <c r="B9" s="47" t="inlineStr">
        <is>
          <t>4.  Cada vez que estudies, añade una fila en «Registro»: fecha, idioma, destreza (desplegables), minutos, actividad y una nota de concentración de 1 a 5.</t>
        </is>
      </c>
    </row>
    <row r="10" ht="30" customHeight="1">
      <c r="B10" s="47" t="inlineStr">
        <is>
          <t>5.  Vuelve a «Plan semanal»: la tabla «Real registrado» se llena sola y se pinta en verde o ámbar según cumplas lo planificado cada día.</t>
        </is>
      </c>
    </row>
    <row r="11" ht="30" customHeight="1">
      <c r="B11" s="47" t="inlineStr">
        <is>
          <t>6.  Elige un idioma concreto en C5 de «Plan semanal» para ver solo ese idioma, o deja «Todos». Escribe cualquier fecha en G5 para consultar otra semana.</t>
        </is>
      </c>
    </row>
    <row r="12" ht="30" customHeight="1">
      <c r="B12" s="47" t="inlineStr">
        <is>
          <t>7.  Mira la racha en el lateral derecho de «Registro» (días seguidos con el mínimo de minutos que fijes en P6) y su resumen en el «Panel».</t>
        </is>
      </c>
    </row>
    <row r="13" ht="30" customHeight="1">
      <c r="B13" s="47" t="inlineStr">
        <is>
          <t>8.  Consulta el «Panel»: horas totales, horas de la semana, racha, cumplimiento del plan, progreso por idioma y gráficos de destrezas y semanas.</t>
        </is>
      </c>
    </row>
    <row r="15">
      <c r="B15" s="12" t="inlineStr">
        <is>
          <t>CONSEJOS</t>
        </is>
      </c>
    </row>
    <row r="16" ht="30" customHeight="1">
      <c r="B16" s="47" t="inlineStr">
        <is>
          <t>•  La fecha de hoy (TODAY) se actualiza sola: semanas, racha y ritmo necesario se recalculan cada día al abrir el archivo.</t>
        </is>
      </c>
    </row>
    <row r="17" ht="30" customHeight="1">
      <c r="B17" s="47" t="inlineStr">
        <is>
          <t>•  Los datos de ejemplo (idiomas, sesiones, fechas) son ficticios: bórralos y escribe los tuyos. El Registro admite hasta 40 sesiones (filas 8 a 47); para más, copia el archivo y empieza uno nuevo.</t>
        </is>
      </c>
    </row>
    <row r="18" ht="30" customHeight="1">
      <c r="B18" s="47" t="inlineStr">
        <is>
          <t>•  Las hojas están protegidas sin contraseña para no romper fórmulas: Revisar &gt; Desproteger hoja si quieres modificar algo.</t>
        </is>
      </c>
    </row>
    <row r="19" ht="30" customHeight="1">
      <c r="B19" s="47" t="inlineStr">
        <is>
          <t>•  Para tu primer día: borra los datos de ejemplo del Registro y escribe en «Objetivos» tu fecha de inicio real; así «Horas/semana reales» parte de cero.</t>
        </is>
      </c>
    </row>
    <row r="21">
      <c r="B21" s="37" t="inlineStr">
        <is>
          <t>Las celdas con fondo crema y texto azul son para rellenar; las verdes se calculan solas.</t>
        </is>
      </c>
    </row>
    <row r="23" ht="44" customHeight="1">
      <c r="B23" s="48" t="inlineStr">
        <is>
          <t>Aviso: las horas por nivel MCER son estimaciones orientativas y editables, no equivalencias oficiales. El tiempo real para cada nivel depende de tu idioma materno, tu método y la intensidad del estudio. Esta plantilla organiza y registra tu estudio; no sustituye a un profesor ni a un examen oficial.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Destreza</t>
        </is>
      </c>
      <c r="B1" t="inlineStr">
        <is>
          <t>Nivel</t>
        </is>
      </c>
      <c r="C1" t="inlineStr">
        <is>
          <t>Filtro idioma</t>
        </is>
      </c>
    </row>
    <row r="2">
      <c r="A2" t="inlineStr">
        <is>
          <t>Vocabulario</t>
        </is>
      </c>
      <c r="B2" t="inlineStr">
        <is>
          <t>A1</t>
        </is>
      </c>
      <c r="C2" t="inlineStr">
        <is>
          <t>Todos</t>
        </is>
      </c>
    </row>
    <row r="3">
      <c r="A3" t="inlineStr">
        <is>
          <t>Gramática</t>
        </is>
      </c>
      <c r="B3" t="inlineStr">
        <is>
          <t>A2</t>
        </is>
      </c>
      <c r="C3">
        <f>IF(Objetivos!B8="","",Objetivos!B8)</f>
        <v/>
      </c>
    </row>
    <row r="4">
      <c r="A4" t="inlineStr">
        <is>
          <t>Comprensión oral</t>
        </is>
      </c>
      <c r="B4" t="inlineStr">
        <is>
          <t>B1</t>
        </is>
      </c>
      <c r="C4">
        <f>IF(Objetivos!B9="","",Objetivos!B9)</f>
        <v/>
      </c>
    </row>
    <row r="5">
      <c r="A5" t="inlineStr">
        <is>
          <t>Comprensión lectora</t>
        </is>
      </c>
      <c r="B5" t="inlineStr">
        <is>
          <t>B2</t>
        </is>
      </c>
      <c r="C5">
        <f>IF(Objetivos!B10="","",Objetivos!B10)</f>
        <v/>
      </c>
    </row>
    <row r="6">
      <c r="A6" t="inlineStr">
        <is>
          <t>Expresión oral</t>
        </is>
      </c>
      <c r="B6" t="inlineStr">
        <is>
          <t>C1</t>
        </is>
      </c>
      <c r="C6">
        <f>IF(Objetivos!B11="","",Objetivos!B11)</f>
        <v/>
      </c>
    </row>
    <row r="7">
      <c r="A7" t="inlineStr">
        <is>
          <t>Expresión escrita</t>
        </is>
      </c>
      <c r="B7" t="inlineStr">
        <is>
          <t>C2</t>
        </is>
      </c>
      <c r="C7">
        <f>IF(Objetivos!B12="","",Objetivos!B12)</f>
        <v/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2026-10-02T13:06:21Z</dcterms:created>
  <dcterms:modified xmlns:dcterms="http://purl.org/dc/terms/" xmlns:xsi="http://www.w3.org/2001/XMLSchema-instance" xsi:type="dcterms:W3CDTF">2026-10-02T13:06:21Z</dcterms:modified>
</cp:coreProperties>
</file>