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Materias" sheetId="2" state="visible" r:id="rId2"/>
    <sheet xmlns:r="http://schemas.openxmlformats.org/officeDocument/2006/relationships" name="Horario" sheetId="3" state="visible" r:id="rId3"/>
    <sheet xmlns:r="http://schemas.openxmlformats.org/officeDocument/2006/relationships" name="Simulacro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0.0"/>
    <numFmt numFmtId="167" formatCode="+0.00;-0.00;0.00"/>
    <numFmt numFmtId="168" formatCode="+0.0;-0.0;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9" fontId="11" fillId="6" borderId="0" applyAlignment="1" pivotButton="0" quotePrefix="0" xfId="0">
      <alignment horizontal="center" vertical="center"/>
    </xf>
    <xf numFmtId="2" fontId="11" fillId="6" borderId="0" applyAlignment="1" pivotButton="0" quotePrefix="0" xfId="0">
      <alignment horizontal="center" vertical="center"/>
    </xf>
    <xf numFmtId="166" fontId="11" fillId="6" borderId="0" applyAlignment="1" pivotButton="0" quotePrefix="0" xfId="0">
      <alignment horizontal="center" vertical="center"/>
    </xf>
    <xf numFmtId="3" fontId="11" fillId="6" borderId="0" applyAlignment="1" pivotButton="0" quotePrefix="0" xfId="0">
      <alignment horizontal="center" vertical="center"/>
    </xf>
    <xf numFmtId="167" fontId="11" fillId="6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2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9" fontId="4" fillId="3" borderId="1" applyAlignment="1" applyProtection="1" pivotButton="0" quotePrefix="0" xfId="0">
      <alignment horizontal="center" vertical="center"/>
      <protection locked="0" hidden="0"/>
    </xf>
    <xf numFmtId="9" fontId="7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2" fontId="7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2" fontId="8" fillId="5" borderId="1" applyAlignment="1" pivotButton="0" quotePrefix="0" xfId="0">
      <alignment vertical="center"/>
    </xf>
    <xf numFmtId="167" fontId="8" fillId="5" borderId="1" applyAlignment="1" pivotButton="0" quotePrefix="0" xfId="0">
      <alignment vertical="center"/>
    </xf>
    <xf numFmtId="166" fontId="5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horizontal="center" vertical="center"/>
    </xf>
    <xf numFmtId="168" fontId="8" fillId="5" borderId="1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FFFFFF"/>
      </font>
      <fill>
        <patternFill patternType="solid">
          <fgColor rgb="00F59E0B"/>
          <b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Nota media por ronda de simulacros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'Panel'!$B$30:$B$34</f>
            </numRef>
          </cat>
          <val>
            <numRef>
              <f>'Panel'!$D$30:$D$34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Última nota frente a nota objetivo, por materia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'Panel'!$B$18:$B$25</f>
            </numRef>
          </cat>
          <val>
            <numRef>
              <f>'Panel'!$G$18:$G$25</f>
            </numRef>
          </val>
        </ser>
        <ser>
          <idx val="1"/>
          <order val="1"/>
          <tx>
            <strRef>
              <f>'Panel'!H17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'Panel'!$B$18:$B$25</f>
            </numRef>
          </cat>
          <val>
            <numRef>
              <f>'Panel'!$H$18:$H$25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27</row>
      <rowOff>0</rowOff>
    </from>
    <ext cx="378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46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5" customWidth="1" min="9" max="9"/>
    <col width="3" customWidth="1" min="10" max="10"/>
  </cols>
  <sheetData>
    <row r="2" ht="34" customHeight="1">
      <c r="B2" s="1" t="inlineStr">
        <is>
          <t>Panel del plan de estudio PAU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Cuenta atrás, cumplimiento de horas, notas de simulacros y estimación orientativa de tu nota de acceso.</t>
        </is>
      </c>
    </row>
    <row r="5" ht="26" customHeight="1">
      <c r="B5" s="4" t="inlineStr">
        <is>
          <t>DÍAS HASTA LA PRUEBA</t>
        </is>
      </c>
      <c r="C5" s="4" t="inlineStr">
        <is>
          <t>SEMANAS QUE QUEDAN</t>
        </is>
      </c>
      <c r="E5" s="4" t="inlineStr">
        <is>
          <t>CUMPLIMIENTO SEMANAL</t>
        </is>
      </c>
      <c r="G5" s="4" t="inlineStr">
        <is>
          <t>NOTA MEDIA SIMULACROS</t>
        </is>
      </c>
    </row>
    <row r="6" ht="34" customHeight="1">
      <c r="B6" s="5">
        <f>Materias!G5</f>
        <v/>
      </c>
      <c r="C6" s="5">
        <f>Materias!I5</f>
        <v/>
      </c>
      <c r="E6" s="6">
        <f>Horario!L29</f>
        <v/>
      </c>
      <c r="G6" s="7">
        <f>IFERROR(ROUND(AVERAGE(Simulacros!E8:E47),2),"-")</f>
        <v/>
      </c>
    </row>
    <row r="8" ht="26" customHeight="1">
      <c r="B8" s="4" t="inlineStr">
        <is>
          <t>HORAS OBJETIVO / SEMANA</t>
        </is>
      </c>
      <c r="C8" s="4" t="inlineStr">
        <is>
          <t>HORAS HASTA LA PRUEBA</t>
        </is>
      </c>
      <c r="E8" s="4" t="inlineStr">
        <is>
          <t>MEJORA MEDIA (ÚLTIMA VS 1ª)</t>
        </is>
      </c>
      <c r="G8" s="4" t="inlineStr">
        <is>
          <t>NOTA DE ACCESO ESTIMADA</t>
        </is>
      </c>
    </row>
    <row r="9" ht="34" customHeight="1">
      <c r="B9" s="8">
        <f>Materias!D16</f>
        <v/>
      </c>
      <c r="C9" s="9">
        <f>IF(ISNUMBER(Materias!I5),ROUND(Materias!D16*Materias!I5,0),"-")</f>
        <v/>
      </c>
      <c r="E9" s="10">
        <f>Materias!L16</f>
        <v/>
      </c>
      <c r="G9" s="7">
        <f>IFERROR(ROUND(C12*C13+C15*C14,2),"-")</f>
        <v/>
      </c>
    </row>
    <row r="11">
      <c r="B11" s="11" t="inlineStr">
        <is>
          <t>SIMULACIÓN ORIENTATIVA DE LA NOTA DE ACCESO</t>
        </is>
      </c>
    </row>
    <row r="12">
      <c r="B12" s="12" t="inlineStr">
        <is>
          <t>Nota media de Bachillerato (0-10)</t>
        </is>
      </c>
      <c r="C12" s="13" t="n">
        <v>8.6</v>
      </c>
      <c r="D12" s="14" t="inlineStr">
        <is>
          <t>Parámetros editables: comprueba en tu comunidad y universidad</t>
        </is>
      </c>
    </row>
    <row r="13">
      <c r="B13" s="12" t="inlineStr">
        <is>
          <t>Peso del Bachillerato</t>
        </is>
      </c>
      <c r="C13" s="15" t="n">
        <v>0.6</v>
      </c>
      <c r="D13" s="14" t="inlineStr">
        <is>
          <t>los pesos y cómo se ponderan las materias voluntarias.</t>
        </is>
      </c>
    </row>
    <row r="14">
      <c r="B14" s="12" t="inlineStr">
        <is>
          <t>Peso de la fase general (resto)</t>
        </is>
      </c>
      <c r="C14" s="16">
        <f>1-C13</f>
        <v/>
      </c>
    </row>
    <row r="15">
      <c r="B15" s="12" t="inlineStr">
        <is>
          <t>Media de última nota, fase general</t>
        </is>
      </c>
      <c r="C15" s="17">
        <f>IFERROR(SUMIF(C18:C25,"General",G18:G25)/COUNTIFS(C18:C25,"General",G18:G25,"&gt;=0"),0)</f>
        <v/>
      </c>
    </row>
    <row r="16">
      <c r="B16" s="11" t="inlineStr">
        <is>
          <t>RESUMEN POR MATERIA</t>
        </is>
      </c>
    </row>
    <row r="17" ht="30" customHeight="1">
      <c r="B17" s="18" t="inlineStr">
        <is>
          <t>Materia</t>
        </is>
      </c>
      <c r="C17" s="18" t="inlineStr">
        <is>
          <t>Fase</t>
        </is>
      </c>
      <c r="D17" s="18" t="inlineStr">
        <is>
          <t>Horas objetivo</t>
        </is>
      </c>
      <c r="E17" s="18" t="inlineStr">
        <is>
          <t>Horas hechas</t>
        </is>
      </c>
      <c r="F17" s="18" t="inlineStr">
        <is>
          <t>Cumplimiento</t>
        </is>
      </c>
      <c r="G17" s="18" t="inlineStr">
        <is>
          <t>Última nota</t>
        </is>
      </c>
      <c r="H17" s="18" t="inlineStr">
        <is>
          <t>Nota objetivo</t>
        </is>
      </c>
      <c r="I17" s="18" t="inlineStr">
        <is>
          <t>Situación</t>
        </is>
      </c>
    </row>
    <row r="18">
      <c r="B18" s="19">
        <f>IF(Materias!B8="","",Materias!B8)</f>
        <v/>
      </c>
      <c r="C18" s="20">
        <f>IF(Materias!B8="","",Materias!C8)</f>
        <v/>
      </c>
      <c r="D18" s="21">
        <f>IF(Materias!B8="","",Materias!D8)</f>
        <v/>
      </c>
      <c r="E18" s="21">
        <f>IF(Materias!B8="","",Materias!F8)</f>
        <v/>
      </c>
      <c r="F18" s="16">
        <f>IF(Materias!B8="","",Materias!G8)</f>
        <v/>
      </c>
      <c r="G18" s="17">
        <f>IF(Materias!B8="","",Materias!K8)</f>
        <v/>
      </c>
      <c r="H18" s="21">
        <f>IF(OR(Materias!B8="",Materias!M8=""),"",Materias!M8)</f>
        <v/>
      </c>
      <c r="I18" s="20">
        <f>IF(Materias!B8="","",Materias!O8)</f>
        <v/>
      </c>
    </row>
    <row r="19">
      <c r="B19" s="19">
        <f>IF(Materias!B9="","",Materias!B9)</f>
        <v/>
      </c>
      <c r="C19" s="20">
        <f>IF(Materias!B9="","",Materias!C9)</f>
        <v/>
      </c>
      <c r="D19" s="21">
        <f>IF(Materias!B9="","",Materias!D9)</f>
        <v/>
      </c>
      <c r="E19" s="21">
        <f>IF(Materias!B9="","",Materias!F9)</f>
        <v/>
      </c>
      <c r="F19" s="16">
        <f>IF(Materias!B9="","",Materias!G9)</f>
        <v/>
      </c>
      <c r="G19" s="17">
        <f>IF(Materias!B9="","",Materias!K9)</f>
        <v/>
      </c>
      <c r="H19" s="21">
        <f>IF(OR(Materias!B9="",Materias!M9=""),"",Materias!M9)</f>
        <v/>
      </c>
      <c r="I19" s="20">
        <f>IF(Materias!B9="","",Materias!O9)</f>
        <v/>
      </c>
    </row>
    <row r="20">
      <c r="B20" s="19">
        <f>IF(Materias!B10="","",Materias!B10)</f>
        <v/>
      </c>
      <c r="C20" s="20">
        <f>IF(Materias!B10="","",Materias!C10)</f>
        <v/>
      </c>
      <c r="D20" s="21">
        <f>IF(Materias!B10="","",Materias!D10)</f>
        <v/>
      </c>
      <c r="E20" s="21">
        <f>IF(Materias!B10="","",Materias!F10)</f>
        <v/>
      </c>
      <c r="F20" s="16">
        <f>IF(Materias!B10="","",Materias!G10)</f>
        <v/>
      </c>
      <c r="G20" s="17">
        <f>IF(Materias!B10="","",Materias!K10)</f>
        <v/>
      </c>
      <c r="H20" s="21">
        <f>IF(OR(Materias!B10="",Materias!M10=""),"",Materias!M10)</f>
        <v/>
      </c>
      <c r="I20" s="20">
        <f>IF(Materias!B10="","",Materias!O10)</f>
        <v/>
      </c>
    </row>
    <row r="21">
      <c r="B21" s="19">
        <f>IF(Materias!B11="","",Materias!B11)</f>
        <v/>
      </c>
      <c r="C21" s="20">
        <f>IF(Materias!B11="","",Materias!C11)</f>
        <v/>
      </c>
      <c r="D21" s="21">
        <f>IF(Materias!B11="","",Materias!D11)</f>
        <v/>
      </c>
      <c r="E21" s="21">
        <f>IF(Materias!B11="","",Materias!F11)</f>
        <v/>
      </c>
      <c r="F21" s="16">
        <f>IF(Materias!B11="","",Materias!G11)</f>
        <v/>
      </c>
      <c r="G21" s="17">
        <f>IF(Materias!B11="","",Materias!K11)</f>
        <v/>
      </c>
      <c r="H21" s="21">
        <f>IF(OR(Materias!B11="",Materias!M11=""),"",Materias!M11)</f>
        <v/>
      </c>
      <c r="I21" s="20">
        <f>IF(Materias!B11="","",Materias!O11)</f>
        <v/>
      </c>
    </row>
    <row r="22">
      <c r="B22" s="19">
        <f>IF(Materias!B12="","",Materias!B12)</f>
        <v/>
      </c>
      <c r="C22" s="20">
        <f>IF(Materias!B12="","",Materias!C12)</f>
        <v/>
      </c>
      <c r="D22" s="21">
        <f>IF(Materias!B12="","",Materias!D12)</f>
        <v/>
      </c>
      <c r="E22" s="21">
        <f>IF(Materias!B12="","",Materias!F12)</f>
        <v/>
      </c>
      <c r="F22" s="16">
        <f>IF(Materias!B12="","",Materias!G12)</f>
        <v/>
      </c>
      <c r="G22" s="17">
        <f>IF(Materias!B12="","",Materias!K12)</f>
        <v/>
      </c>
      <c r="H22" s="21">
        <f>IF(OR(Materias!B12="",Materias!M12=""),"",Materias!M12)</f>
        <v/>
      </c>
      <c r="I22" s="20">
        <f>IF(Materias!B12="","",Materias!O12)</f>
        <v/>
      </c>
    </row>
    <row r="23">
      <c r="B23" s="19">
        <f>IF(Materias!B13="","",Materias!B13)</f>
        <v/>
      </c>
      <c r="C23" s="20">
        <f>IF(Materias!B13="","",Materias!C13)</f>
        <v/>
      </c>
      <c r="D23" s="21">
        <f>IF(Materias!B13="","",Materias!D13)</f>
        <v/>
      </c>
      <c r="E23" s="21">
        <f>IF(Materias!B13="","",Materias!F13)</f>
        <v/>
      </c>
      <c r="F23" s="16">
        <f>IF(Materias!B13="","",Materias!G13)</f>
        <v/>
      </c>
      <c r="G23" s="17">
        <f>IF(Materias!B13="","",Materias!K13)</f>
        <v/>
      </c>
      <c r="H23" s="21">
        <f>IF(OR(Materias!B13="",Materias!M13=""),"",Materias!M13)</f>
        <v/>
      </c>
      <c r="I23" s="20">
        <f>IF(Materias!B13="","",Materias!O13)</f>
        <v/>
      </c>
    </row>
    <row r="24">
      <c r="B24" s="19">
        <f>IF(Materias!B14="","",Materias!B14)</f>
        <v/>
      </c>
      <c r="C24" s="20">
        <f>IF(Materias!B14="","",Materias!C14)</f>
        <v/>
      </c>
      <c r="D24" s="21">
        <f>IF(Materias!B14="","",Materias!D14)</f>
        <v/>
      </c>
      <c r="E24" s="21">
        <f>IF(Materias!B14="","",Materias!F14)</f>
        <v/>
      </c>
      <c r="F24" s="16">
        <f>IF(Materias!B14="","",Materias!G14)</f>
        <v/>
      </c>
      <c r="G24" s="17">
        <f>IF(Materias!B14="","",Materias!K14)</f>
        <v/>
      </c>
      <c r="H24" s="21">
        <f>IF(OR(Materias!B14="",Materias!M14=""),"",Materias!M14)</f>
        <v/>
      </c>
      <c r="I24" s="20">
        <f>IF(Materias!B14="","",Materias!O14)</f>
        <v/>
      </c>
    </row>
    <row r="25">
      <c r="B25" s="19">
        <f>IF(Materias!B15="","",Materias!B15)</f>
        <v/>
      </c>
      <c r="C25" s="20">
        <f>IF(Materias!B15="","",Materias!C15)</f>
        <v/>
      </c>
      <c r="D25" s="21">
        <f>IF(Materias!B15="","",Materias!D15)</f>
        <v/>
      </c>
      <c r="E25" s="21">
        <f>IF(Materias!B15="","",Materias!F15)</f>
        <v/>
      </c>
      <c r="F25" s="16">
        <f>IF(Materias!B15="","",Materias!G15)</f>
        <v/>
      </c>
      <c r="G25" s="17">
        <f>IF(Materias!B15="","",Materias!K15)</f>
        <v/>
      </c>
      <c r="H25" s="21">
        <f>IF(OR(Materias!B15="",Materias!M15=""),"",Materias!M15)</f>
        <v/>
      </c>
      <c r="I25" s="20">
        <f>IF(Materias!B15="","",Materias!O15)</f>
        <v/>
      </c>
    </row>
    <row r="28">
      <c r="B28" s="11" t="inlineStr">
        <is>
          <t>EVOLUCIÓN POR RONDA DE SIMULACROS</t>
        </is>
      </c>
    </row>
    <row r="29" ht="30" customHeight="1">
      <c r="B29" s="18" t="inlineStr">
        <is>
          <t>Ronda (1.º, 2.º... por materia)</t>
        </is>
      </c>
      <c r="C29" s="18" t="inlineStr">
        <is>
          <t>Nº simulacros</t>
        </is>
      </c>
      <c r="D29" s="18" t="inlineStr">
        <is>
          <t>Nota media</t>
        </is>
      </c>
    </row>
    <row r="30">
      <c r="B30" s="22" t="n">
        <v>1</v>
      </c>
      <c r="C30" s="22">
        <f>COUNTIF(Simulacros!$F$8:$F$47,B30)</f>
        <v/>
      </c>
      <c r="D30" s="17">
        <f>IF(C30=0,"",ROUND(SUMIF(Simulacros!$F$8:$F$47,B30,Simulacros!$E$8:$E$47)/C30,2))</f>
        <v/>
      </c>
    </row>
    <row r="31">
      <c r="B31" s="22" t="n">
        <v>2</v>
      </c>
      <c r="C31" s="22">
        <f>COUNTIF(Simulacros!$F$8:$F$47,B31)</f>
        <v/>
      </c>
      <c r="D31" s="17">
        <f>IF(C31=0,"",ROUND(SUMIF(Simulacros!$F$8:$F$47,B31,Simulacros!$E$8:$E$47)/C31,2))</f>
        <v/>
      </c>
    </row>
    <row r="32">
      <c r="B32" s="22" t="n">
        <v>3</v>
      </c>
      <c r="C32" s="22">
        <f>COUNTIF(Simulacros!$F$8:$F$47,B32)</f>
        <v/>
      </c>
      <c r="D32" s="17">
        <f>IF(C32=0,"",ROUND(SUMIF(Simulacros!$F$8:$F$47,B32,Simulacros!$E$8:$E$47)/C32,2))</f>
        <v/>
      </c>
    </row>
    <row r="33">
      <c r="B33" s="22" t="n">
        <v>4</v>
      </c>
      <c r="C33" s="22">
        <f>COUNTIF(Simulacros!$F$8:$F$47,B33)</f>
        <v/>
      </c>
      <c r="D33" s="17">
        <f>IF(C33=0,"",ROUND(SUMIF(Simulacros!$F$8:$F$47,B33,Simulacros!$E$8:$E$47)/C33,2))</f>
        <v/>
      </c>
    </row>
    <row r="34">
      <c r="B34" s="22" t="n">
        <v>5</v>
      </c>
      <c r="C34" s="22">
        <f>COUNTIF(Simulacros!$F$8:$F$47,B34)</f>
        <v/>
      </c>
      <c r="D34" s="17">
        <f>IF(C34=0,"",ROUND(SUMIF(Simulacros!$F$8:$F$47,B34,Simulacros!$E$8:$E$47)/C34,2))</f>
        <v/>
      </c>
    </row>
    <row r="36">
      <c r="B36" s="11" t="inlineStr">
        <is>
          <t>HORAS POR DÍA DE LA SEMANA</t>
        </is>
      </c>
    </row>
    <row r="37" ht="24" customHeight="1">
      <c r="B37" s="18" t="inlineStr">
        <is>
          <t>Día</t>
        </is>
      </c>
      <c r="C37" s="18" t="inlineStr">
        <is>
          <t>Planificadas</t>
        </is>
      </c>
      <c r="D37" s="18" t="inlineStr">
        <is>
          <t>Realizadas</t>
        </is>
      </c>
    </row>
    <row r="38">
      <c r="B38" s="20" t="inlineStr">
        <is>
          <t>Lun</t>
        </is>
      </c>
      <c r="C38" s="21">
        <f>Horario!C16</f>
        <v/>
      </c>
      <c r="D38" s="21">
        <f>Horario!C29</f>
        <v/>
      </c>
    </row>
    <row r="39">
      <c r="B39" s="20" t="inlineStr">
        <is>
          <t>Mar</t>
        </is>
      </c>
      <c r="C39" s="21">
        <f>Horario!D16</f>
        <v/>
      </c>
      <c r="D39" s="21">
        <f>Horario!D29</f>
        <v/>
      </c>
    </row>
    <row r="40">
      <c r="B40" s="20" t="inlineStr">
        <is>
          <t>Mié</t>
        </is>
      </c>
      <c r="C40" s="21">
        <f>Horario!E16</f>
        <v/>
      </c>
      <c r="D40" s="21">
        <f>Horario!E29</f>
        <v/>
      </c>
    </row>
    <row r="41">
      <c r="B41" s="20" t="inlineStr">
        <is>
          <t>Jue</t>
        </is>
      </c>
      <c r="C41" s="21">
        <f>Horario!F16</f>
        <v/>
      </c>
      <c r="D41" s="21">
        <f>Horario!F29</f>
        <v/>
      </c>
    </row>
    <row r="42">
      <c r="B42" s="20" t="inlineStr">
        <is>
          <t>Vie</t>
        </is>
      </c>
      <c r="C42" s="21">
        <f>Horario!G16</f>
        <v/>
      </c>
      <c r="D42" s="21">
        <f>Horario!G29</f>
        <v/>
      </c>
    </row>
    <row r="43">
      <c r="B43" s="20" t="inlineStr">
        <is>
          <t>Sáb</t>
        </is>
      </c>
      <c r="C43" s="21">
        <f>Horario!H16</f>
        <v/>
      </c>
      <c r="D43" s="21">
        <f>Horario!H29</f>
        <v/>
      </c>
    </row>
    <row r="44">
      <c r="B44" s="20" t="inlineStr">
        <is>
          <t>Dom</t>
        </is>
      </c>
      <c r="C44" s="21">
        <f>Horario!I16</f>
        <v/>
      </c>
      <c r="D44" s="21">
        <f>Horario!I29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E6:F6"/>
    <mergeCell ref="C6:D6"/>
    <mergeCell ref="G6:I6"/>
    <mergeCell ref="G5:I5"/>
    <mergeCell ref="B2:I2"/>
    <mergeCell ref="C5:D5"/>
    <mergeCell ref="E5:F5"/>
    <mergeCell ref="B3:I3"/>
    <mergeCell ref="G8:I8"/>
    <mergeCell ref="G9:I9"/>
    <mergeCell ref="C9:D9"/>
    <mergeCell ref="E9:F9"/>
    <mergeCell ref="E8:F8"/>
    <mergeCell ref="C8:D8"/>
  </mergeCells>
  <conditionalFormatting sqref="I18:I25">
    <cfRule type="cellIs" priority="1" operator="equal" dxfId="0">
      <formula>"En objetivo"</formula>
    </cfRule>
    <cfRule type="cellIs" priority="2" operator="equal" dxfId="1">
      <formula>"Cerca"</formula>
    </cfRule>
    <cfRule type="cellIs" priority="3" operator="equal" dxfId="2">
      <formula>"Reforzar"</formula>
    </cfRule>
  </conditionalFormatting>
  <conditionalFormatting sqref="F18:F25">
    <cfRule type="dataBar" priority="4">
      <dataBar>
        <cfvo type="num" val="0"/>
        <cfvo type="max"/>
        <color rgb="0010B981"/>
      </dataBar>
    </cfRule>
  </conditionalFormatting>
  <conditionalFormatting sqref="C38:C44">
    <cfRule type="dataBar" priority="5">
      <dataBar>
        <cfvo type="num" val="0"/>
        <cfvo type="max"/>
        <color rgb="0010B981"/>
      </dataBar>
    </cfRule>
  </conditionalFormatting>
  <conditionalFormatting sqref="D38:D44">
    <cfRule type="dataBar" priority="6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1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2" customWidth="1" min="4" max="4"/>
    <col width="12" customWidth="1" min="5" max="5"/>
    <col width="12" customWidth="1" min="6" max="6"/>
    <col width="13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4" customWidth="1" min="15" max="15"/>
  </cols>
  <sheetData>
    <row r="2" ht="34" customHeight="1">
      <c r="B2" s="1" t="inlineStr">
        <is>
          <t>Materias de la PAU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Tus materias, las horas semanales que te marcas y cómo evolucionan tus simulacros frente a la nota objetivo.</t>
        </is>
      </c>
    </row>
    <row r="5">
      <c r="B5" s="23" t="inlineStr">
        <is>
          <t>Fecha de la prueba:</t>
        </is>
      </c>
      <c r="C5" s="24" t="n">
        <v>46540</v>
      </c>
      <c r="D5" s="23" t="inlineStr">
        <is>
          <t>Hoy:</t>
        </is>
      </c>
      <c r="E5" s="25">
        <f>TODAY()</f>
        <v/>
      </c>
      <c r="F5" s="23" t="inlineStr">
        <is>
          <t>Días que faltan:</t>
        </is>
      </c>
      <c r="G5" s="26">
        <f>IF(C5="","",MAX(0,C5-E5))</f>
        <v/>
      </c>
      <c r="H5" s="23" t="inlineStr">
        <is>
          <t>Semanas:</t>
        </is>
      </c>
      <c r="I5" s="26">
        <f>IF(G5="","",INT(G5/7))</f>
        <v/>
      </c>
      <c r="J5" s="23" t="inlineStr">
        <is>
          <t>Margen «Cerca»:</t>
        </is>
      </c>
      <c r="K5" s="27" t="n">
        <v>1</v>
      </c>
      <c r="L5" s="14" t="inlineStr">
        <is>
          <t>puntos de nota</t>
        </is>
      </c>
    </row>
    <row r="7" ht="44" customHeight="1">
      <c r="B7" s="18" t="inlineStr">
        <is>
          <t>Materia</t>
        </is>
      </c>
      <c r="C7" s="18" t="inlineStr">
        <is>
          <t>Fase</t>
        </is>
      </c>
      <c r="D7" s="18" t="inlineStr">
        <is>
          <t>Horas objetivo / semana</t>
        </is>
      </c>
      <c r="E7" s="18" t="inlineStr">
        <is>
          <t>Horas planificadas</t>
        </is>
      </c>
      <c r="F7" s="18" t="inlineStr">
        <is>
          <t>Horas hechas esta semana</t>
        </is>
      </c>
      <c r="G7" s="18" t="inlineStr">
        <is>
          <t>Cumplimiento semanal</t>
        </is>
      </c>
      <c r="H7" s="18" t="inlineStr">
        <is>
          <t>Nº simulacros</t>
        </is>
      </c>
      <c r="I7" s="18" t="inlineStr">
        <is>
          <t>Nota media</t>
        </is>
      </c>
      <c r="J7" s="18" t="inlineStr">
        <is>
          <t>Primera nota</t>
        </is>
      </c>
      <c r="K7" s="18" t="inlineStr">
        <is>
          <t>Última nota</t>
        </is>
      </c>
      <c r="L7" s="18" t="inlineStr">
        <is>
          <t>Mejora</t>
        </is>
      </c>
      <c r="M7" s="18" t="inlineStr">
        <is>
          <t>Nota objetivo</t>
        </is>
      </c>
      <c r="N7" s="18" t="inlineStr">
        <is>
          <t>Última vs objetivo</t>
        </is>
      </c>
      <c r="O7" s="18" t="inlineStr">
        <is>
          <t>Situación</t>
        </is>
      </c>
    </row>
    <row r="8">
      <c r="B8" s="28" t="inlineStr">
        <is>
          <t>Lengua Castellana y Literatura II</t>
        </is>
      </c>
      <c r="C8" s="29" t="inlineStr">
        <is>
          <t>General</t>
        </is>
      </c>
      <c r="D8" s="27" t="n">
        <v>3</v>
      </c>
      <c r="E8" s="21">
        <f>IF(B8="","",Horario!J8)</f>
        <v/>
      </c>
      <c r="F8" s="21">
        <f>IF(B8="","",Horario!J21)</f>
        <v/>
      </c>
      <c r="G8" s="16">
        <f>IF(B8="","",IFERROR(F8/D8,0))</f>
        <v/>
      </c>
      <c r="H8" s="22">
        <f>IF(B8="","",COUNTIFS(Simulacros!$B$8:$B$47,B8,Simulacros!$E$8:$E$47,"&lt;&gt;"))</f>
        <v/>
      </c>
      <c r="I8" s="17">
        <f>IF(B8="","",IF(H8=0,"-",ROUND(SUMIF(Simulacros!$B$8:$B$47,B8,Simulacros!$E$8:$E$47)/H8,2)))</f>
        <v/>
      </c>
      <c r="J8" s="30">
        <f>IF(B8="","",IF(H8=0,"-",SUMIFS(Simulacros!$E$8:$E$47,Simulacros!$B$8:$B$47,B8,Simulacros!$F$8:$F$47,1)))</f>
        <v/>
      </c>
      <c r="K8" s="17">
        <f>IF(B8="","",IF(H8=0,"-",SUMIFS(Simulacros!$E$8:$E$47,Simulacros!$B$8:$B$47,B8,Simulacros!$F$8:$F$47,H8)))</f>
        <v/>
      </c>
      <c r="L8" s="31">
        <f>IF(B8="","",IF(AND(ISNUMBER(J8),ISNUMBER(K8)),ROUND(K8-J8,2),"-"))</f>
        <v/>
      </c>
      <c r="M8" s="27" t="n">
        <v>7</v>
      </c>
      <c r="N8" s="31">
        <f>IF(B8="","",IF(AND(ISNUMBER(K8),ISNUMBER(M8)),ROUND(K8-M8,2),"-"))</f>
        <v/>
      </c>
      <c r="O8" s="20">
        <f>IF(B8="","",IF(NOT(ISNUMBER(N8)),"Sin datos",IF(N8&gt;=0,"En objetivo",IF(N8&gt;=-$K$5,"Cerca","Reforzar"))))</f>
        <v/>
      </c>
    </row>
    <row r="9">
      <c r="B9" s="28" t="inlineStr">
        <is>
          <t>Historia de España</t>
        </is>
      </c>
      <c r="C9" s="29" t="inlineStr">
        <is>
          <t>General</t>
        </is>
      </c>
      <c r="D9" s="27" t="n">
        <v>2.5</v>
      </c>
      <c r="E9" s="21">
        <f>IF(B9="","",Horario!J9)</f>
        <v/>
      </c>
      <c r="F9" s="21">
        <f>IF(B9="","",Horario!J22)</f>
        <v/>
      </c>
      <c r="G9" s="16">
        <f>IF(B9="","",IFERROR(F9/D9,0))</f>
        <v/>
      </c>
      <c r="H9" s="22">
        <f>IF(B9="","",COUNTIFS(Simulacros!$B$8:$B$47,B9,Simulacros!$E$8:$E$47,"&lt;&gt;"))</f>
        <v/>
      </c>
      <c r="I9" s="17">
        <f>IF(B9="","",IF(H9=0,"-",ROUND(SUMIF(Simulacros!$B$8:$B$47,B9,Simulacros!$E$8:$E$47)/H9,2)))</f>
        <v/>
      </c>
      <c r="J9" s="30">
        <f>IF(B9="","",IF(H9=0,"-",SUMIFS(Simulacros!$E$8:$E$47,Simulacros!$B$8:$B$47,B9,Simulacros!$F$8:$F$47,1)))</f>
        <v/>
      </c>
      <c r="K9" s="17">
        <f>IF(B9="","",IF(H9=0,"-",SUMIFS(Simulacros!$E$8:$E$47,Simulacros!$B$8:$B$47,B9,Simulacros!$F$8:$F$47,H9)))</f>
        <v/>
      </c>
      <c r="L9" s="31">
        <f>IF(B9="","",IF(AND(ISNUMBER(J9),ISNUMBER(K9)),ROUND(K9-J9,2),"-"))</f>
        <v/>
      </c>
      <c r="M9" s="27" t="n">
        <v>7.5</v>
      </c>
      <c r="N9" s="31">
        <f>IF(B9="","",IF(AND(ISNUMBER(K9),ISNUMBER(M9)),ROUND(K9-M9,2),"-"))</f>
        <v/>
      </c>
      <c r="O9" s="20">
        <f>IF(B9="","",IF(NOT(ISNUMBER(N9)),"Sin datos",IF(N9&gt;=0,"En objetivo",IF(N9&gt;=-$K$5,"Cerca","Reforzar"))))</f>
        <v/>
      </c>
    </row>
    <row r="10">
      <c r="B10" s="28" t="inlineStr">
        <is>
          <t>Inglés</t>
        </is>
      </c>
      <c r="C10" s="29" t="inlineStr">
        <is>
          <t>General</t>
        </is>
      </c>
      <c r="D10" s="27" t="n">
        <v>2</v>
      </c>
      <c r="E10" s="21">
        <f>IF(B10="","",Horario!J10)</f>
        <v/>
      </c>
      <c r="F10" s="21">
        <f>IF(B10="","",Horario!J23)</f>
        <v/>
      </c>
      <c r="G10" s="16">
        <f>IF(B10="","",IFERROR(F10/D10,0))</f>
        <v/>
      </c>
      <c r="H10" s="22">
        <f>IF(B10="","",COUNTIFS(Simulacros!$B$8:$B$47,B10,Simulacros!$E$8:$E$47,"&lt;&gt;"))</f>
        <v/>
      </c>
      <c r="I10" s="17">
        <f>IF(B10="","",IF(H10=0,"-",ROUND(SUMIF(Simulacros!$B$8:$B$47,B10,Simulacros!$E$8:$E$47)/H10,2)))</f>
        <v/>
      </c>
      <c r="J10" s="30">
        <f>IF(B10="","",IF(H10=0,"-",SUMIFS(Simulacros!$E$8:$E$47,Simulacros!$B$8:$B$47,B10,Simulacros!$F$8:$F$47,1)))</f>
        <v/>
      </c>
      <c r="K10" s="17">
        <f>IF(B10="","",IF(H10=0,"-",SUMIFS(Simulacros!$E$8:$E$47,Simulacros!$B$8:$B$47,B10,Simulacros!$F$8:$F$47,H10)))</f>
        <v/>
      </c>
      <c r="L10" s="31">
        <f>IF(B10="","",IF(AND(ISNUMBER(J10),ISNUMBER(K10)),ROUND(K10-J10,2),"-"))</f>
        <v/>
      </c>
      <c r="M10" s="27" t="n">
        <v>8</v>
      </c>
      <c r="N10" s="31">
        <f>IF(B10="","",IF(AND(ISNUMBER(K10),ISNUMBER(M10)),ROUND(K10-M10,2),"-"))</f>
        <v/>
      </c>
      <c r="O10" s="20">
        <f>IF(B10="","",IF(NOT(ISNUMBER(N10)),"Sin datos",IF(N10&gt;=0,"En objetivo",IF(N10&gt;=-$K$5,"Cerca","Reforzar"))))</f>
        <v/>
      </c>
    </row>
    <row r="11">
      <c r="B11" s="28" t="inlineStr">
        <is>
          <t>Matemáticas II</t>
        </is>
      </c>
      <c r="C11" s="29" t="inlineStr">
        <is>
          <t>General</t>
        </is>
      </c>
      <c r="D11" s="27" t="n">
        <v>4.5</v>
      </c>
      <c r="E11" s="21">
        <f>IF(B11="","",Horario!J11)</f>
        <v/>
      </c>
      <c r="F11" s="21">
        <f>IF(B11="","",Horario!J24)</f>
        <v/>
      </c>
      <c r="G11" s="16">
        <f>IF(B11="","",IFERROR(F11/D11,0))</f>
        <v/>
      </c>
      <c r="H11" s="22">
        <f>IF(B11="","",COUNTIFS(Simulacros!$B$8:$B$47,B11,Simulacros!$E$8:$E$47,"&lt;&gt;"))</f>
        <v/>
      </c>
      <c r="I11" s="17">
        <f>IF(B11="","",IF(H11=0,"-",ROUND(SUMIF(Simulacros!$B$8:$B$47,B11,Simulacros!$E$8:$E$47)/H11,2)))</f>
        <v/>
      </c>
      <c r="J11" s="30">
        <f>IF(B11="","",IF(H11=0,"-",SUMIFS(Simulacros!$E$8:$E$47,Simulacros!$B$8:$B$47,B11,Simulacros!$F$8:$F$47,1)))</f>
        <v/>
      </c>
      <c r="K11" s="17">
        <f>IF(B11="","",IF(H11=0,"-",SUMIFS(Simulacros!$E$8:$E$47,Simulacros!$B$8:$B$47,B11,Simulacros!$F$8:$F$47,H11)))</f>
        <v/>
      </c>
      <c r="L11" s="31">
        <f>IF(B11="","",IF(AND(ISNUMBER(J11),ISNUMBER(K11)),ROUND(K11-J11,2),"-"))</f>
        <v/>
      </c>
      <c r="M11" s="27" t="n">
        <v>8</v>
      </c>
      <c r="N11" s="31">
        <f>IF(B11="","",IF(AND(ISNUMBER(K11),ISNUMBER(M11)),ROUND(K11-M11,2),"-"))</f>
        <v/>
      </c>
      <c r="O11" s="20">
        <f>IF(B11="","",IF(NOT(ISNUMBER(N11)),"Sin datos",IF(N11&gt;=0,"En objetivo",IF(N11&gt;=-$K$5,"Cerca","Reforzar"))))</f>
        <v/>
      </c>
    </row>
    <row r="12">
      <c r="B12" s="28" t="inlineStr">
        <is>
          <t>Física</t>
        </is>
      </c>
      <c r="C12" s="29" t="inlineStr">
        <is>
          <t>Voluntaria</t>
        </is>
      </c>
      <c r="D12" s="27" t="n">
        <v>3.5</v>
      </c>
      <c r="E12" s="21">
        <f>IF(B12="","",Horario!J12)</f>
        <v/>
      </c>
      <c r="F12" s="21">
        <f>IF(B12="","",Horario!J25)</f>
        <v/>
      </c>
      <c r="G12" s="16">
        <f>IF(B12="","",IFERROR(F12/D12,0))</f>
        <v/>
      </c>
      <c r="H12" s="22">
        <f>IF(B12="","",COUNTIFS(Simulacros!$B$8:$B$47,B12,Simulacros!$E$8:$E$47,"&lt;&gt;"))</f>
        <v/>
      </c>
      <c r="I12" s="17">
        <f>IF(B12="","",IF(H12=0,"-",ROUND(SUMIF(Simulacros!$B$8:$B$47,B12,Simulacros!$E$8:$E$47)/H12,2)))</f>
        <v/>
      </c>
      <c r="J12" s="30">
        <f>IF(B12="","",IF(H12=0,"-",SUMIFS(Simulacros!$E$8:$E$47,Simulacros!$B$8:$B$47,B12,Simulacros!$F$8:$F$47,1)))</f>
        <v/>
      </c>
      <c r="K12" s="17">
        <f>IF(B12="","",IF(H12=0,"-",SUMIFS(Simulacros!$E$8:$E$47,Simulacros!$B$8:$B$47,B12,Simulacros!$F$8:$F$47,H12)))</f>
        <v/>
      </c>
      <c r="L12" s="31">
        <f>IF(B12="","",IF(AND(ISNUMBER(J12),ISNUMBER(K12)),ROUND(K12-J12,2),"-"))</f>
        <v/>
      </c>
      <c r="M12" s="27" t="n">
        <v>8</v>
      </c>
      <c r="N12" s="31">
        <f>IF(B12="","",IF(AND(ISNUMBER(K12),ISNUMBER(M12)),ROUND(K12-M12,2),"-"))</f>
        <v/>
      </c>
      <c r="O12" s="20">
        <f>IF(B12="","",IF(NOT(ISNUMBER(N12)),"Sin datos",IF(N12&gt;=0,"En objetivo",IF(N12&gt;=-$K$5,"Cerca","Reforzar"))))</f>
        <v/>
      </c>
    </row>
    <row r="13">
      <c r="B13" s="28" t="inlineStr">
        <is>
          <t>Química</t>
        </is>
      </c>
      <c r="C13" s="29" t="inlineStr">
        <is>
          <t>Voluntaria</t>
        </is>
      </c>
      <c r="D13" s="27" t="n">
        <v>3</v>
      </c>
      <c r="E13" s="21">
        <f>IF(B13="","",Horario!J13)</f>
        <v/>
      </c>
      <c r="F13" s="21">
        <f>IF(B13="","",Horario!J26)</f>
        <v/>
      </c>
      <c r="G13" s="16">
        <f>IF(B13="","",IFERROR(F13/D13,0))</f>
        <v/>
      </c>
      <c r="H13" s="22">
        <f>IF(B13="","",COUNTIFS(Simulacros!$B$8:$B$47,B13,Simulacros!$E$8:$E$47,"&lt;&gt;"))</f>
        <v/>
      </c>
      <c r="I13" s="17">
        <f>IF(B13="","",IF(H13=0,"-",ROUND(SUMIF(Simulacros!$B$8:$B$47,B13,Simulacros!$E$8:$E$47)/H13,2)))</f>
        <v/>
      </c>
      <c r="J13" s="30">
        <f>IF(B13="","",IF(H13=0,"-",SUMIFS(Simulacros!$E$8:$E$47,Simulacros!$B$8:$B$47,B13,Simulacros!$F$8:$F$47,1)))</f>
        <v/>
      </c>
      <c r="K13" s="17">
        <f>IF(B13="","",IF(H13=0,"-",SUMIFS(Simulacros!$E$8:$E$47,Simulacros!$B$8:$B$47,B13,Simulacros!$F$8:$F$47,H13)))</f>
        <v/>
      </c>
      <c r="L13" s="31">
        <f>IF(B13="","",IF(AND(ISNUMBER(J13),ISNUMBER(K13)),ROUND(K13-J13,2),"-"))</f>
        <v/>
      </c>
      <c r="M13" s="27" t="n">
        <v>7.5</v>
      </c>
      <c r="N13" s="31">
        <f>IF(B13="","",IF(AND(ISNUMBER(K13),ISNUMBER(M13)),ROUND(K13-M13,2),"-"))</f>
        <v/>
      </c>
      <c r="O13" s="20">
        <f>IF(B13="","",IF(NOT(ISNUMBER(N13)),"Sin datos",IF(N13&gt;=0,"En objetivo",IF(N13&gt;=-$K$5,"Cerca","Reforzar"))))</f>
        <v/>
      </c>
    </row>
    <row r="14">
      <c r="B14" s="28" t="inlineStr">
        <is>
          <t>Biología</t>
        </is>
      </c>
      <c r="C14" s="29" t="inlineStr">
        <is>
          <t>Voluntaria</t>
        </is>
      </c>
      <c r="D14" s="27" t="n">
        <v>2.5</v>
      </c>
      <c r="E14" s="21">
        <f>IF(B14="","",Horario!J14)</f>
        <v/>
      </c>
      <c r="F14" s="21">
        <f>IF(B14="","",Horario!J27)</f>
        <v/>
      </c>
      <c r="G14" s="16">
        <f>IF(B14="","",IFERROR(F14/D14,0))</f>
        <v/>
      </c>
      <c r="H14" s="22">
        <f>IF(B14="","",COUNTIFS(Simulacros!$B$8:$B$47,B14,Simulacros!$E$8:$E$47,"&lt;&gt;"))</f>
        <v/>
      </c>
      <c r="I14" s="17">
        <f>IF(B14="","",IF(H14=0,"-",ROUND(SUMIF(Simulacros!$B$8:$B$47,B14,Simulacros!$E$8:$E$47)/H14,2)))</f>
        <v/>
      </c>
      <c r="J14" s="30">
        <f>IF(B14="","",IF(H14=0,"-",SUMIFS(Simulacros!$E$8:$E$47,Simulacros!$B$8:$B$47,B14,Simulacros!$F$8:$F$47,1)))</f>
        <v/>
      </c>
      <c r="K14" s="17">
        <f>IF(B14="","",IF(H14=0,"-",SUMIFS(Simulacros!$E$8:$E$47,Simulacros!$B$8:$B$47,B14,Simulacros!$F$8:$F$47,H14)))</f>
        <v/>
      </c>
      <c r="L14" s="31">
        <f>IF(B14="","",IF(AND(ISNUMBER(J14),ISNUMBER(K14)),ROUND(K14-J14,2),"-"))</f>
        <v/>
      </c>
      <c r="M14" s="27" t="n">
        <v>8</v>
      </c>
      <c r="N14" s="31">
        <f>IF(B14="","",IF(AND(ISNUMBER(K14),ISNUMBER(M14)),ROUND(K14-M14,2),"-"))</f>
        <v/>
      </c>
      <c r="O14" s="20">
        <f>IF(B14="","",IF(NOT(ISNUMBER(N14)),"Sin datos",IF(N14&gt;=0,"En objetivo",IF(N14&gt;=-$K$5,"Cerca","Reforzar"))))</f>
        <v/>
      </c>
    </row>
    <row r="15">
      <c r="B15" s="28" t="n"/>
      <c r="C15" s="29" t="n"/>
      <c r="D15" s="27" t="n"/>
      <c r="E15" s="21">
        <f>IF(B15="","",Horario!J15)</f>
        <v/>
      </c>
      <c r="F15" s="21">
        <f>IF(B15="","",Horario!J28)</f>
        <v/>
      </c>
      <c r="G15" s="16">
        <f>IF(B15="","",IFERROR(F15/D15,0))</f>
        <v/>
      </c>
      <c r="H15" s="22">
        <f>IF(B15="","",COUNTIFS(Simulacros!$B$8:$B$47,B15,Simulacros!$E$8:$E$47,"&lt;&gt;"))</f>
        <v/>
      </c>
      <c r="I15" s="17">
        <f>IF(B15="","",IF(H15=0,"-",ROUND(SUMIF(Simulacros!$B$8:$B$47,B15,Simulacros!$E$8:$E$47)/H15,2)))</f>
        <v/>
      </c>
      <c r="J15" s="30">
        <f>IF(B15="","",IF(H15=0,"-",SUMIFS(Simulacros!$E$8:$E$47,Simulacros!$B$8:$B$47,B15,Simulacros!$F$8:$F$47,1)))</f>
        <v/>
      </c>
      <c r="K15" s="17">
        <f>IF(B15="","",IF(H15=0,"-",SUMIFS(Simulacros!$E$8:$E$47,Simulacros!$B$8:$B$47,B15,Simulacros!$F$8:$F$47,H15)))</f>
        <v/>
      </c>
      <c r="L15" s="31">
        <f>IF(B15="","",IF(AND(ISNUMBER(J15),ISNUMBER(K15)),ROUND(K15-J15,2),"-"))</f>
        <v/>
      </c>
      <c r="M15" s="27" t="n"/>
      <c r="N15" s="31">
        <f>IF(B15="","",IF(AND(ISNUMBER(K15),ISNUMBER(M15)),ROUND(K15-M15,2),"-"))</f>
        <v/>
      </c>
      <c r="O15" s="20">
        <f>IF(B15="","",IF(NOT(ISNUMBER(N15)),"Sin datos",IF(N15&gt;=0,"En objetivo",IF(N15&gt;=-$K$5,"Cerca","Reforzar"))))</f>
        <v/>
      </c>
    </row>
    <row r="16">
      <c r="B16" s="32" t="inlineStr">
        <is>
          <t>Total / media</t>
        </is>
      </c>
      <c r="C16" s="32" t="inlineStr"/>
      <c r="D16" s="33">
        <f>SUM(D8:D15)</f>
        <v/>
      </c>
      <c r="E16" s="33">
        <f>SUM(E8:E15)</f>
        <v/>
      </c>
      <c r="F16" s="33">
        <f>SUM(F8:F15)</f>
        <v/>
      </c>
      <c r="G16" s="34">
        <f>IFERROR(F16/D16,0)</f>
        <v/>
      </c>
      <c r="H16" s="35">
        <f>SUM(H8:H15)</f>
        <v/>
      </c>
      <c r="I16" s="36">
        <f>IFERROR(AVERAGE(I8:I15),"-")</f>
        <v/>
      </c>
      <c r="J16" s="36">
        <f>IFERROR(AVERAGE(J8:J15),"-")</f>
        <v/>
      </c>
      <c r="K16" s="36">
        <f>IFERROR(AVERAGE(K8:K15),"-")</f>
        <v/>
      </c>
      <c r="L16" s="37">
        <f>IFERROR(AVERAGE(L8:L15),"-")</f>
        <v/>
      </c>
      <c r="M16" s="36">
        <f>IFERROR(AVERAGE(M8:M15),"-")</f>
        <v/>
      </c>
      <c r="N16" s="37">
        <f>IFERROR(AVERAGE(N8:N15),"-")</f>
        <v/>
      </c>
      <c r="O16" s="32" t="inlineStr"/>
    </row>
    <row r="18">
      <c r="B18" s="14" t="inlineStr">
        <is>
          <t>La fecha de la prueba es orientativa: cámbiala por la que publique tu comunidad autónoma. «Horas planificadas» y «hechas» vienen de la hoja Horario.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O8:O15">
    <cfRule type="cellIs" priority="1" operator="equal" dxfId="0">
      <formula>"En objetivo"</formula>
    </cfRule>
    <cfRule type="cellIs" priority="2" operator="equal" dxfId="1">
      <formula>"Cerca"</formula>
    </cfRule>
    <cfRule type="cellIs" priority="3" operator="equal" dxfId="2">
      <formula>"Reforzar"</formula>
    </cfRule>
  </conditionalFormatting>
  <conditionalFormatting sqref="N8:N15">
    <cfRule type="expression" priority="4" dxfId="2">
      <formula>AND(ISNUMBER($N8),$N8&lt;0)</formula>
    </cfRule>
  </conditionalFormatting>
  <conditionalFormatting sqref="G8:G15">
    <cfRule type="dataBar" priority="5">
      <dataBar>
        <cfvo type="num" val="0"/>
        <cfvo type="max"/>
        <color rgb="0010B981"/>
      </dataBar>
    </cfRule>
  </conditionalFormatting>
  <dataValidations count="3">
    <dataValidation sqref="C8:C15" showDropDown="0" showInputMessage="0" showErrorMessage="0" allowBlank="1" type="list">
      <formula1>=Listas!$A$2:$A$3</formula1>
    </dataValidation>
    <dataValidation sqref="M8:M15" showDropDown="0" showInputMessage="0" showErrorMessage="1" allowBlank="1" errorTitle="Nota" error="Introduce una nota entre 0 y 10." type="decimal" operator="between">
      <formula1>0</formula1>
      <formula2>10</formula2>
    </dataValidation>
    <dataValidation sqref="D8:D15" showDropDown="0" showInputMessage="0" showErrorMessage="1" allowBlank="1" errorTitle="Horas" error="Escribe horas semanales entre 0 y 40." type="decimal" operator="between">
      <formula1>0</formula1>
      <formula2>40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M2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3" customWidth="1" min="1" max="1"/>
    <col width="30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1" customWidth="1" min="10" max="10"/>
    <col width="11" customWidth="1" min="11" max="11"/>
    <col width="13" customWidth="1" min="12" max="12"/>
    <col width="17" customWidth="1" min="13" max="13"/>
  </cols>
  <sheetData>
    <row r="2" ht="34" customHeight="1">
      <c r="B2" s="1" t="inlineStr">
        <is>
          <t>Calendario semanal de estudio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Planifica tu semana tipo por materia y apunta las horas que realmente estudias; el día de hoy se resalta.</t>
        </is>
      </c>
    </row>
    <row r="5">
      <c r="B5" s="11" t="inlineStr">
        <is>
          <t>SEMANA TIPO · HORAS PLANIFICADAS POR DÍA</t>
        </is>
      </c>
    </row>
    <row r="7" ht="26" customHeight="1">
      <c r="B7" s="18" t="inlineStr">
        <is>
          <t>Materia</t>
        </is>
      </c>
      <c r="C7" s="18" t="inlineStr">
        <is>
          <t>Lun</t>
        </is>
      </c>
      <c r="D7" s="18" t="inlineStr">
        <is>
          <t>Mar</t>
        </is>
      </c>
      <c r="E7" s="18" t="inlineStr">
        <is>
          <t>Mié</t>
        </is>
      </c>
      <c r="F7" s="18" t="inlineStr">
        <is>
          <t>Jue</t>
        </is>
      </c>
      <c r="G7" s="18" t="inlineStr">
        <is>
          <t>Vie</t>
        </is>
      </c>
      <c r="H7" s="18" t="inlineStr">
        <is>
          <t>Sáb</t>
        </is>
      </c>
      <c r="I7" s="18" t="inlineStr">
        <is>
          <t>Dom</t>
        </is>
      </c>
      <c r="J7" s="18" t="inlineStr">
        <is>
          <t>Total plan</t>
        </is>
      </c>
      <c r="K7" s="18" t="inlineStr">
        <is>
          <t>Objetivo</t>
        </is>
      </c>
      <c r="L7" s="18" t="inlineStr">
        <is>
          <t>Diferencia</t>
        </is>
      </c>
      <c r="M7" s="18" t="inlineStr">
        <is>
          <t>Estado</t>
        </is>
      </c>
    </row>
    <row r="8">
      <c r="B8" s="19">
        <f>IF(Materias!B8="","",Materias!B8)</f>
        <v/>
      </c>
      <c r="C8" s="27" t="n">
        <v>1</v>
      </c>
      <c r="D8" s="27" t="n">
        <v>0</v>
      </c>
      <c r="E8" s="27" t="n">
        <v>1</v>
      </c>
      <c r="F8" s="27" t="n">
        <v>0</v>
      </c>
      <c r="G8" s="27" t="n">
        <v>0</v>
      </c>
      <c r="H8" s="27" t="n">
        <v>1</v>
      </c>
      <c r="I8" s="27" t="n">
        <v>0</v>
      </c>
      <c r="J8" s="38">
        <f>IF(B8="","",SUM(C8:I8))</f>
        <v/>
      </c>
      <c r="K8" s="21">
        <f>IF(B8="","",Materias!D8)</f>
        <v/>
      </c>
      <c r="L8" s="39">
        <f>IF(B8="","",J8-K8)</f>
        <v/>
      </c>
      <c r="M8" s="20">
        <f>IF(B8="","",IF(J8&gt;=K8,"Cubierto","Faltan "&amp;ROUND(K8-J8,1)&amp;" h"))</f>
        <v/>
      </c>
    </row>
    <row r="9">
      <c r="B9" s="19">
        <f>IF(Materias!B9="","",Materias!B9)</f>
        <v/>
      </c>
      <c r="C9" s="27" t="n">
        <v>0</v>
      </c>
      <c r="D9" s="27" t="n">
        <v>1</v>
      </c>
      <c r="E9" s="27" t="n">
        <v>0</v>
      </c>
      <c r="F9" s="27" t="n">
        <v>1</v>
      </c>
      <c r="G9" s="27" t="n">
        <v>0</v>
      </c>
      <c r="H9" s="27" t="n">
        <v>0.5</v>
      </c>
      <c r="I9" s="27" t="n">
        <v>0</v>
      </c>
      <c r="J9" s="38">
        <f>IF(B9="","",SUM(C9:I9))</f>
        <v/>
      </c>
      <c r="K9" s="21">
        <f>IF(B9="","",Materias!D9)</f>
        <v/>
      </c>
      <c r="L9" s="39">
        <f>IF(B9="","",J9-K9)</f>
        <v/>
      </c>
      <c r="M9" s="20">
        <f>IF(B9="","",IF(J9&gt;=K9,"Cubierto","Faltan "&amp;ROUND(K9-J9,1)&amp;" h"))</f>
        <v/>
      </c>
    </row>
    <row r="10">
      <c r="B10" s="19">
        <f>IF(Materias!B10="","",Materias!B10)</f>
        <v/>
      </c>
      <c r="C10" s="27" t="n">
        <v>0.5</v>
      </c>
      <c r="D10" s="27" t="n">
        <v>0</v>
      </c>
      <c r="E10" s="27" t="n">
        <v>0.5</v>
      </c>
      <c r="F10" s="27" t="n">
        <v>0</v>
      </c>
      <c r="G10" s="27" t="n">
        <v>0.5</v>
      </c>
      <c r="H10" s="27" t="n">
        <v>0</v>
      </c>
      <c r="I10" s="27" t="n">
        <v>0.5</v>
      </c>
      <c r="J10" s="38">
        <f>IF(B10="","",SUM(C10:I10))</f>
        <v/>
      </c>
      <c r="K10" s="21">
        <f>IF(B10="","",Materias!D10)</f>
        <v/>
      </c>
      <c r="L10" s="39">
        <f>IF(B10="","",J10-K10)</f>
        <v/>
      </c>
      <c r="M10" s="20">
        <f>IF(B10="","",IF(J10&gt;=K10,"Cubierto","Faltan "&amp;ROUND(K10-J10,1)&amp;" h"))</f>
        <v/>
      </c>
    </row>
    <row r="11">
      <c r="B11" s="19">
        <f>IF(Materias!B11="","",Materias!B11)</f>
        <v/>
      </c>
      <c r="C11" s="27" t="n">
        <v>1</v>
      </c>
      <c r="D11" s="27" t="n">
        <v>1</v>
      </c>
      <c r="E11" s="27" t="n">
        <v>0.5</v>
      </c>
      <c r="F11" s="27" t="n">
        <v>1</v>
      </c>
      <c r="G11" s="27" t="n">
        <v>0</v>
      </c>
      <c r="H11" s="27" t="n">
        <v>1</v>
      </c>
      <c r="I11" s="27" t="n">
        <v>0</v>
      </c>
      <c r="J11" s="38">
        <f>IF(B11="","",SUM(C11:I11))</f>
        <v/>
      </c>
      <c r="K11" s="21">
        <f>IF(B11="","",Materias!D11)</f>
        <v/>
      </c>
      <c r="L11" s="39">
        <f>IF(B11="","",J11-K11)</f>
        <v/>
      </c>
      <c r="M11" s="20">
        <f>IF(B11="","",IF(J11&gt;=K11,"Cubierto","Faltan "&amp;ROUND(K11-J11,1)&amp;" h"))</f>
        <v/>
      </c>
    </row>
    <row r="12">
      <c r="B12" s="19">
        <f>IF(Materias!B12="","",Materias!B12)</f>
        <v/>
      </c>
      <c r="C12" s="27" t="n">
        <v>0</v>
      </c>
      <c r="D12" s="27" t="n">
        <v>1</v>
      </c>
      <c r="E12" s="27" t="n">
        <v>0</v>
      </c>
      <c r="F12" s="27" t="n">
        <v>1</v>
      </c>
      <c r="G12" s="27" t="n">
        <v>1</v>
      </c>
      <c r="H12" s="27" t="n">
        <v>0</v>
      </c>
      <c r="I12" s="27" t="n">
        <v>0.5</v>
      </c>
      <c r="J12" s="38">
        <f>IF(B12="","",SUM(C12:I12))</f>
        <v/>
      </c>
      <c r="K12" s="21">
        <f>IF(B12="","",Materias!D12)</f>
        <v/>
      </c>
      <c r="L12" s="39">
        <f>IF(B12="","",J12-K12)</f>
        <v/>
      </c>
      <c r="M12" s="20">
        <f>IF(B12="","",IF(J12&gt;=K12,"Cubierto","Faltan "&amp;ROUND(K12-J12,1)&amp;" h"))</f>
        <v/>
      </c>
    </row>
    <row r="13">
      <c r="B13" s="19">
        <f>IF(Materias!B13="","",Materias!B13)</f>
        <v/>
      </c>
      <c r="C13" s="27" t="n">
        <v>1</v>
      </c>
      <c r="D13" s="27" t="n">
        <v>0</v>
      </c>
      <c r="E13" s="27" t="n">
        <v>1</v>
      </c>
      <c r="F13" s="27" t="n">
        <v>0</v>
      </c>
      <c r="G13" s="27" t="n">
        <v>0</v>
      </c>
      <c r="H13" s="27" t="n">
        <v>0</v>
      </c>
      <c r="I13" s="27" t="n">
        <v>0.5</v>
      </c>
      <c r="J13" s="38">
        <f>IF(B13="","",SUM(C13:I13))</f>
        <v/>
      </c>
      <c r="K13" s="21">
        <f>IF(B13="","",Materias!D13)</f>
        <v/>
      </c>
      <c r="L13" s="39">
        <f>IF(B13="","",J13-K13)</f>
        <v/>
      </c>
      <c r="M13" s="20">
        <f>IF(B13="","",IF(J13&gt;=K13,"Cubierto","Faltan "&amp;ROUND(K13-J13,1)&amp;" h"))</f>
        <v/>
      </c>
    </row>
    <row r="14">
      <c r="B14" s="19">
        <f>IF(Materias!B14="","",Materias!B14)</f>
        <v/>
      </c>
      <c r="C14" s="27" t="n">
        <v>0</v>
      </c>
      <c r="D14" s="27" t="n">
        <v>0</v>
      </c>
      <c r="E14" s="27" t="n">
        <v>1</v>
      </c>
      <c r="F14" s="27" t="n">
        <v>0.5</v>
      </c>
      <c r="G14" s="27" t="n">
        <v>0</v>
      </c>
      <c r="H14" s="27" t="n">
        <v>0.5</v>
      </c>
      <c r="I14" s="27" t="n">
        <v>0.5</v>
      </c>
      <c r="J14" s="38">
        <f>IF(B14="","",SUM(C14:I14))</f>
        <v/>
      </c>
      <c r="K14" s="21">
        <f>IF(B14="","",Materias!D14)</f>
        <v/>
      </c>
      <c r="L14" s="39">
        <f>IF(B14="","",J14-K14)</f>
        <v/>
      </c>
      <c r="M14" s="20">
        <f>IF(B14="","",IF(J14&gt;=K14,"Cubierto","Faltan "&amp;ROUND(K14-J14,1)&amp;" h"))</f>
        <v/>
      </c>
    </row>
    <row r="15">
      <c r="B15" s="19">
        <f>IF(Materias!B15="","",Materias!B15)</f>
        <v/>
      </c>
      <c r="C15" s="27" t="n"/>
      <c r="D15" s="27" t="n"/>
      <c r="E15" s="27" t="n"/>
      <c r="F15" s="27" t="n"/>
      <c r="G15" s="27" t="n"/>
      <c r="H15" s="27" t="n"/>
      <c r="I15" s="27" t="n"/>
      <c r="J15" s="38">
        <f>IF(B15="","",SUM(C15:I15))</f>
        <v/>
      </c>
      <c r="K15" s="21">
        <f>IF(B15="","",Materias!D15)</f>
        <v/>
      </c>
      <c r="L15" s="39">
        <f>IF(B15="","",J15-K15)</f>
        <v/>
      </c>
      <c r="M15" s="20">
        <f>IF(B15="","",IF(J15&gt;=K15,"Cubierto","Faltan "&amp;ROUND(K15-J15,1)&amp;" h"))</f>
        <v/>
      </c>
    </row>
    <row r="16">
      <c r="B16" s="32" t="inlineStr">
        <is>
          <t>Total por día</t>
        </is>
      </c>
      <c r="C16" s="33">
        <f>SUM(C8:C15)</f>
        <v/>
      </c>
      <c r="D16" s="33">
        <f>SUM(D8:D15)</f>
        <v/>
      </c>
      <c r="E16" s="33">
        <f>SUM(E8:E15)</f>
        <v/>
      </c>
      <c r="F16" s="33">
        <f>SUM(F8:F15)</f>
        <v/>
      </c>
      <c r="G16" s="33">
        <f>SUM(G8:G15)</f>
        <v/>
      </c>
      <c r="H16" s="33">
        <f>SUM(H8:H15)</f>
        <v/>
      </c>
      <c r="I16" s="33">
        <f>SUM(I8:I15)</f>
        <v/>
      </c>
      <c r="J16" s="33">
        <f>SUM(J8:J15)</f>
        <v/>
      </c>
      <c r="K16" s="33">
        <f>SUM(K8:K15)</f>
        <v/>
      </c>
      <c r="L16" s="40">
        <f>J16-K16</f>
        <v/>
      </c>
      <c r="M16" s="32">
        <f>IF(J16&gt;=K16,"Cubierto","Faltan "&amp;ROUND(K16-J16,1)&amp;" h")</f>
        <v/>
      </c>
    </row>
    <row r="19">
      <c r="B19" s="11" t="inlineStr">
        <is>
          <t>ESTA SEMANA · HORAS REALIZADAS</t>
        </is>
      </c>
      <c r="F19" s="14" t="inlineStr">
        <is>
          <t>(pon las casillas a cero al empezar cada semana)</t>
        </is>
      </c>
    </row>
    <row r="20" ht="26" customHeight="1">
      <c r="B20" s="18" t="inlineStr">
        <is>
          <t>Materia</t>
        </is>
      </c>
      <c r="C20" s="18" t="inlineStr">
        <is>
          <t>Lun</t>
        </is>
      </c>
      <c r="D20" s="18" t="inlineStr">
        <is>
          <t>Mar</t>
        </is>
      </c>
      <c r="E20" s="18" t="inlineStr">
        <is>
          <t>Mié</t>
        </is>
      </c>
      <c r="F20" s="18" t="inlineStr">
        <is>
          <t>Jue</t>
        </is>
      </c>
      <c r="G20" s="18" t="inlineStr">
        <is>
          <t>Vie</t>
        </is>
      </c>
      <c r="H20" s="18" t="inlineStr">
        <is>
          <t>Sáb</t>
        </is>
      </c>
      <c r="I20" s="18" t="inlineStr">
        <is>
          <t>Dom</t>
        </is>
      </c>
      <c r="J20" s="18" t="inlineStr">
        <is>
          <t>Total hecho</t>
        </is>
      </c>
      <c r="K20" s="18" t="inlineStr">
        <is>
          <t>Objetivo</t>
        </is>
      </c>
      <c r="L20" s="18" t="inlineStr">
        <is>
          <t>Cumplimiento</t>
        </is>
      </c>
      <c r="M20" s="18" t="inlineStr">
        <is>
          <t>Estado</t>
        </is>
      </c>
    </row>
    <row r="21">
      <c r="B21" s="19">
        <f>IF(Materias!B8="","",Materias!B8)</f>
        <v/>
      </c>
      <c r="C21" s="27" t="n">
        <v>1</v>
      </c>
      <c r="D21" s="27" t="n">
        <v>0</v>
      </c>
      <c r="E21" s="27" t="n">
        <v>1</v>
      </c>
      <c r="F21" s="27" t="n">
        <v>0</v>
      </c>
      <c r="G21" s="27" t="n">
        <v>0.5</v>
      </c>
      <c r="H21" s="27" t="n">
        <v>0</v>
      </c>
      <c r="I21" s="27" t="n">
        <v>0</v>
      </c>
      <c r="J21" s="38">
        <f>IF(B21="","",SUM(C21:I21))</f>
        <v/>
      </c>
      <c r="K21" s="21">
        <f>IF(B21="","",Materias!D8)</f>
        <v/>
      </c>
      <c r="L21" s="16">
        <f>IF(B21="","",IFERROR(J21/K21,0))</f>
        <v/>
      </c>
      <c r="M21" s="20">
        <f>IF(B21="","",IF(L21&gt;=1,"Objetivo logrado",IF(L21&gt;=0.75,"Bien encaminado","Por debajo")))</f>
        <v/>
      </c>
    </row>
    <row r="22">
      <c r="B22" s="19">
        <f>IF(Materias!B9="","",Materias!B9)</f>
        <v/>
      </c>
      <c r="C22" s="27" t="n">
        <v>0</v>
      </c>
      <c r="D22" s="27" t="n">
        <v>1</v>
      </c>
      <c r="E22" s="27" t="n">
        <v>0</v>
      </c>
      <c r="F22" s="27" t="n">
        <v>1</v>
      </c>
      <c r="G22" s="27" t="n">
        <v>0</v>
      </c>
      <c r="H22" s="27" t="n">
        <v>0.5</v>
      </c>
      <c r="I22" s="27" t="n">
        <v>0</v>
      </c>
      <c r="J22" s="38">
        <f>IF(B22="","",SUM(C22:I22))</f>
        <v/>
      </c>
      <c r="K22" s="21">
        <f>IF(B22="","",Materias!D9)</f>
        <v/>
      </c>
      <c r="L22" s="16">
        <f>IF(B22="","",IFERROR(J22/K22,0))</f>
        <v/>
      </c>
      <c r="M22" s="20">
        <f>IF(B22="","",IF(L22&gt;=1,"Objetivo logrado",IF(L22&gt;=0.75,"Bien encaminado","Por debajo")))</f>
        <v/>
      </c>
    </row>
    <row r="23">
      <c r="B23" s="19">
        <f>IF(Materias!B10="","",Materias!B10)</f>
        <v/>
      </c>
      <c r="C23" s="27" t="n">
        <v>0.5</v>
      </c>
      <c r="D23" s="27" t="n">
        <v>0</v>
      </c>
      <c r="E23" s="27" t="n">
        <v>0.5</v>
      </c>
      <c r="F23" s="27" t="n">
        <v>0</v>
      </c>
      <c r="G23" s="27" t="n">
        <v>0.5</v>
      </c>
      <c r="H23" s="27" t="n">
        <v>0</v>
      </c>
      <c r="I23" s="27" t="n">
        <v>0</v>
      </c>
      <c r="J23" s="38">
        <f>IF(B23="","",SUM(C23:I23))</f>
        <v/>
      </c>
      <c r="K23" s="21">
        <f>IF(B23="","",Materias!D10)</f>
        <v/>
      </c>
      <c r="L23" s="16">
        <f>IF(B23="","",IFERROR(J23/K23,0))</f>
        <v/>
      </c>
      <c r="M23" s="20">
        <f>IF(B23="","",IF(L23&gt;=1,"Objetivo logrado",IF(L23&gt;=0.75,"Bien encaminado","Por debajo")))</f>
        <v/>
      </c>
    </row>
    <row r="24">
      <c r="B24" s="19">
        <f>IF(Materias!B11="","",Materias!B11)</f>
        <v/>
      </c>
      <c r="C24" s="27" t="n">
        <v>1</v>
      </c>
      <c r="D24" s="27" t="n">
        <v>1</v>
      </c>
      <c r="E24" s="27" t="n">
        <v>0.5</v>
      </c>
      <c r="F24" s="27" t="n">
        <v>1</v>
      </c>
      <c r="G24" s="27" t="n">
        <v>0</v>
      </c>
      <c r="H24" s="27" t="n">
        <v>1</v>
      </c>
      <c r="I24" s="27" t="n">
        <v>0</v>
      </c>
      <c r="J24" s="38">
        <f>IF(B24="","",SUM(C24:I24))</f>
        <v/>
      </c>
      <c r="K24" s="21">
        <f>IF(B24="","",Materias!D11)</f>
        <v/>
      </c>
      <c r="L24" s="16">
        <f>IF(B24="","",IFERROR(J24/K24,0))</f>
        <v/>
      </c>
      <c r="M24" s="20">
        <f>IF(B24="","",IF(L24&gt;=1,"Objetivo logrado",IF(L24&gt;=0.75,"Bien encaminado","Por debajo")))</f>
        <v/>
      </c>
    </row>
    <row r="25">
      <c r="B25" s="19">
        <f>IF(Materias!B12="","",Materias!B12)</f>
        <v/>
      </c>
      <c r="C25" s="27" t="n">
        <v>0</v>
      </c>
      <c r="D25" s="27" t="n">
        <v>1</v>
      </c>
      <c r="E25" s="27" t="n">
        <v>0</v>
      </c>
      <c r="F25" s="27" t="n">
        <v>1</v>
      </c>
      <c r="G25" s="27" t="n">
        <v>0.5</v>
      </c>
      <c r="H25" s="27" t="n">
        <v>0</v>
      </c>
      <c r="I25" s="27" t="n">
        <v>0</v>
      </c>
      <c r="J25" s="38">
        <f>IF(B25="","",SUM(C25:I25))</f>
        <v/>
      </c>
      <c r="K25" s="21">
        <f>IF(B25="","",Materias!D12)</f>
        <v/>
      </c>
      <c r="L25" s="16">
        <f>IF(B25="","",IFERROR(J25/K25,0))</f>
        <v/>
      </c>
      <c r="M25" s="20">
        <f>IF(B25="","",IF(L25&gt;=1,"Objetivo logrado",IF(L25&gt;=0.75,"Bien encaminado","Por debajo")))</f>
        <v/>
      </c>
    </row>
    <row r="26">
      <c r="B26" s="19">
        <f>IF(Materias!B13="","",Materias!B13)</f>
        <v/>
      </c>
      <c r="C26" s="27" t="n">
        <v>1</v>
      </c>
      <c r="D26" s="27" t="n">
        <v>0</v>
      </c>
      <c r="E26" s="27" t="n">
        <v>0.5</v>
      </c>
      <c r="F26" s="27" t="n">
        <v>0</v>
      </c>
      <c r="G26" s="27" t="n">
        <v>0</v>
      </c>
      <c r="H26" s="27" t="n">
        <v>0</v>
      </c>
      <c r="I26" s="27" t="n">
        <v>0</v>
      </c>
      <c r="J26" s="38">
        <f>IF(B26="","",SUM(C26:I26))</f>
        <v/>
      </c>
      <c r="K26" s="21">
        <f>IF(B26="","",Materias!D13)</f>
        <v/>
      </c>
      <c r="L26" s="16">
        <f>IF(B26="","",IFERROR(J26/K26,0))</f>
        <v/>
      </c>
      <c r="M26" s="20">
        <f>IF(B26="","",IF(L26&gt;=1,"Objetivo logrado",IF(L26&gt;=0.75,"Bien encaminado","Por debajo")))</f>
        <v/>
      </c>
    </row>
    <row r="27">
      <c r="B27" s="19">
        <f>IF(Materias!B14="","",Materias!B14)</f>
        <v/>
      </c>
      <c r="C27" s="27" t="n">
        <v>0</v>
      </c>
      <c r="D27" s="27" t="n">
        <v>0</v>
      </c>
      <c r="E27" s="27" t="n">
        <v>1</v>
      </c>
      <c r="F27" s="27" t="n">
        <v>0.5</v>
      </c>
      <c r="G27" s="27" t="n">
        <v>0</v>
      </c>
      <c r="H27" s="27" t="n">
        <v>0</v>
      </c>
      <c r="I27" s="27" t="n">
        <v>0</v>
      </c>
      <c r="J27" s="38">
        <f>IF(B27="","",SUM(C27:I27))</f>
        <v/>
      </c>
      <c r="K27" s="21">
        <f>IF(B27="","",Materias!D14)</f>
        <v/>
      </c>
      <c r="L27" s="16">
        <f>IF(B27="","",IFERROR(J27/K27,0))</f>
        <v/>
      </c>
      <c r="M27" s="20">
        <f>IF(B27="","",IF(L27&gt;=1,"Objetivo logrado",IF(L27&gt;=0.75,"Bien encaminado","Por debajo")))</f>
        <v/>
      </c>
    </row>
    <row r="28">
      <c r="B28" s="19">
        <f>IF(Materias!B15="","",Materias!B15)</f>
        <v/>
      </c>
      <c r="C28" s="27" t="n"/>
      <c r="D28" s="27" t="n"/>
      <c r="E28" s="27" t="n"/>
      <c r="F28" s="27" t="n"/>
      <c r="G28" s="27" t="n"/>
      <c r="H28" s="27" t="n"/>
      <c r="I28" s="27" t="n"/>
      <c r="J28" s="38">
        <f>IF(B28="","",SUM(C28:I28))</f>
        <v/>
      </c>
      <c r="K28" s="21">
        <f>IF(B28="","",Materias!D15)</f>
        <v/>
      </c>
      <c r="L28" s="16">
        <f>IF(B28="","",IFERROR(J28/K28,0))</f>
        <v/>
      </c>
      <c r="M28" s="20">
        <f>IF(B28="","",IF(L28&gt;=1,"Objetivo logrado",IF(L28&gt;=0.75,"Bien encaminado","Por debajo")))</f>
        <v/>
      </c>
    </row>
    <row r="29">
      <c r="B29" s="32" t="inlineStr">
        <is>
          <t>Total por día</t>
        </is>
      </c>
      <c r="C29" s="33">
        <f>SUM(C21:C28)</f>
        <v/>
      </c>
      <c r="D29" s="33">
        <f>SUM(D21:D28)</f>
        <v/>
      </c>
      <c r="E29" s="33">
        <f>SUM(E21:E28)</f>
        <v/>
      </c>
      <c r="F29" s="33">
        <f>SUM(F21:F28)</f>
        <v/>
      </c>
      <c r="G29" s="33">
        <f>SUM(G21:G28)</f>
        <v/>
      </c>
      <c r="H29" s="33">
        <f>SUM(H21:H28)</f>
        <v/>
      </c>
      <c r="I29" s="33">
        <f>SUM(I21:I28)</f>
        <v/>
      </c>
      <c r="J29" s="33">
        <f>SUM(J21:J28)</f>
        <v/>
      </c>
      <c r="K29" s="33">
        <f>SUM(K21:K28)</f>
        <v/>
      </c>
      <c r="L29" s="34">
        <f>IFERROR(J29/K29,0)</f>
        <v/>
      </c>
      <c r="M29" s="32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M8:M16">
    <cfRule type="expression" priority="1" dxfId="1">
      <formula>LEFT($M8,6)="Faltan"</formula>
    </cfRule>
    <cfRule type="expression" priority="2" dxfId="0">
      <formula>$M8="Cubierto"</formula>
    </cfRule>
  </conditionalFormatting>
  <conditionalFormatting sqref="C7:I7">
    <cfRule type="expression" priority="3" dxfId="3">
      <formula>COLUMN()-2=WEEKDAY(TODAY(),2)</formula>
    </cfRule>
  </conditionalFormatting>
  <conditionalFormatting sqref="C8:I15">
    <cfRule type="expression" priority="4" dxfId="1">
      <formula>AND(COLUMN()-2=WEEKDAY(TODAY(),2),$B8&lt;&gt;"")</formula>
    </cfRule>
  </conditionalFormatting>
  <conditionalFormatting sqref="M21:M28">
    <cfRule type="cellIs" priority="5" operator="equal" dxfId="0">
      <formula>"Objetivo logrado"</formula>
    </cfRule>
    <cfRule type="cellIs" priority="6" operator="equal" dxfId="1">
      <formula>"Bien encaminado"</formula>
    </cfRule>
    <cfRule type="cellIs" priority="7" operator="equal" dxfId="2">
      <formula>"Por debajo"</formula>
    </cfRule>
  </conditionalFormatting>
  <conditionalFormatting sqref="L21:L28">
    <cfRule type="dataBar" priority="8">
      <dataBar>
        <cfvo type="num" val="0"/>
        <cfvo type="max"/>
        <color rgb="0010B981"/>
      </dataBar>
    </cfRule>
  </conditionalFormatting>
  <conditionalFormatting sqref="C20:I20">
    <cfRule type="expression" priority="9" dxfId="3">
      <formula>COLUMN()-2=WEEKDAY(TODAY(),2)</formula>
    </cfRule>
  </conditionalFormatting>
  <conditionalFormatting sqref="C21:I28">
    <cfRule type="expression" priority="10" dxfId="1">
      <formula>AND(COLUMN()-2=WEEKDAY(TODAY(),2),$B21&lt;&gt;"")</formula>
    </cfRule>
  </conditionalFormatting>
  <dataValidations count="1">
    <dataValidation sqref="C8:I15 C21:I28" showDropDown="0" showInputMessage="0" showErrorMessage="1" allowBlank="1" errorTitle="Horas" error="Escribe horas entre 0 y 16 (admite decimales: 1,5)." type="decimal" operator="between">
      <formula1>0</formula1>
      <formula2>16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4" customWidth="1" min="3" max="3"/>
    <col width="12" customWidth="1" min="4" max="4"/>
    <col width="9" customWidth="1" min="5" max="5"/>
    <col width="10" customWidth="1" min="6" max="6"/>
    <col width="10" customWidth="1" min="7" max="7"/>
    <col width="12" customWidth="1" min="8" max="8"/>
    <col width="12" customWidth="1" min="9" max="9"/>
    <col width="13" customWidth="1" min="10" max="10"/>
    <col width="34" customWidth="1" min="11" max="11"/>
  </cols>
  <sheetData>
    <row r="2" ht="34" customHeight="1">
      <c r="B2" s="1" t="inlineStr">
        <is>
          <t>Repaso de exámenes anteriores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Cada examen de convocatorias pasadas que haces como simulacro, con la nota que sacas frente a tu objetivo.</t>
        </is>
      </c>
    </row>
    <row r="5">
      <c r="B5" s="14" t="inlineStr">
        <is>
          <t>Elige la materia en el desplegable, anota el examen, la fecha y tu nota (0-10) corregida con los criterios oficiales.</t>
        </is>
      </c>
    </row>
    <row r="7" ht="32" customHeight="1">
      <c r="B7" s="18" t="inlineStr">
        <is>
          <t>Materia</t>
        </is>
      </c>
      <c r="C7" s="18" t="inlineStr">
        <is>
          <t>Examen / convocatoria</t>
        </is>
      </c>
      <c r="D7" s="18" t="inlineStr">
        <is>
          <t>Fecha</t>
        </is>
      </c>
      <c r="E7" s="18" t="inlineStr">
        <is>
          <t>Nota (0-10)</t>
        </is>
      </c>
      <c r="F7" s="18" t="inlineStr">
        <is>
          <t>Nº intento</t>
        </is>
      </c>
      <c r="G7" s="18" t="inlineStr">
        <is>
          <t>Nota objetivo</t>
        </is>
      </c>
      <c r="H7" s="18" t="inlineStr">
        <is>
          <t>Diferencia</t>
        </is>
      </c>
      <c r="I7" s="18" t="inlineStr">
        <is>
          <t>Cambio vs. anterior</t>
        </is>
      </c>
      <c r="J7" s="18" t="inlineStr">
        <is>
          <t>Resultado</t>
        </is>
      </c>
      <c r="K7" s="18" t="inlineStr">
        <is>
          <t>Temas a reforzar</t>
        </is>
      </c>
    </row>
    <row r="8">
      <c r="B8" s="28" t="inlineStr">
        <is>
          <t>Lengua Castellana y Literatura II</t>
        </is>
      </c>
      <c r="C8" s="28" t="inlineStr">
        <is>
          <t>Modelo 2025 · ordinaria</t>
        </is>
      </c>
      <c r="D8" s="24" t="n">
        <v>46284</v>
      </c>
      <c r="E8" s="27" t="n">
        <v>5.8</v>
      </c>
      <c r="F8" s="22">
        <f>IF(OR(B8="",E8=""),"",COUNTIFS($B$8:B8,B8,$E$8:E8,"&lt;&gt;"))</f>
        <v/>
      </c>
      <c r="G8" s="21">
        <f>IF(F8="","",IFERROR(INDEX(Materias!$M$8:$M$15,MATCH(B8,Materias!$B$8:$B$15,0)),""))</f>
        <v/>
      </c>
      <c r="H8" s="31">
        <f>IF(OR(F8="",G8=""),"",ROUND(E8-G8,2))</f>
        <v/>
      </c>
      <c r="I8" s="31">
        <f>IF(F8="","",IF(F8&lt;2,"",ROUND(E8-SUMIFS($E$8:$E$47,$B$8:$B$47,B8,$F$8:$F$47,F8-1),2)))</f>
        <v/>
      </c>
      <c r="J8" s="20">
        <f>IF(H8="","",IF(H8&gt;=0,"En objetivo",IF(H8&gt;=-Materias!$K$5,"Cerca","Reforzar")))</f>
        <v/>
      </c>
      <c r="K8" s="28" t="inlineStr">
        <is>
          <t>Comentario de texto y sintaxis</t>
        </is>
      </c>
    </row>
    <row r="9">
      <c r="B9" s="28" t="inlineStr">
        <is>
          <t>Matemáticas II</t>
        </is>
      </c>
      <c r="C9" s="28" t="inlineStr">
        <is>
          <t>Modelo 2025 · ordinaria</t>
        </is>
      </c>
      <c r="D9" s="24" t="n">
        <v>46286</v>
      </c>
      <c r="E9" s="27" t="n">
        <v>6.2</v>
      </c>
      <c r="F9" s="22">
        <f>IF(OR(B9="",E9=""),"",COUNTIFS($B$8:B9,B9,$E$8:E9,"&lt;&gt;"))</f>
        <v/>
      </c>
      <c r="G9" s="21">
        <f>IF(F9="","",IFERROR(INDEX(Materias!$M$8:$M$15,MATCH(B9,Materias!$B$8:$B$15,0)),""))</f>
        <v/>
      </c>
      <c r="H9" s="31">
        <f>IF(OR(F9="",G9=""),"",ROUND(E9-G9,2))</f>
        <v/>
      </c>
      <c r="I9" s="31">
        <f>IF(F9="","",IF(F9&lt;2,"",ROUND(E9-SUMIFS($E$8:$E$47,$B$8:$B$47,B9,$F$8:$F$47,F9-1),2)))</f>
        <v/>
      </c>
      <c r="J9" s="20">
        <f>IF(H9="","",IF(H9&gt;=0,"En objetivo",IF(H9&gt;=-Materias!$K$5,"Cerca","Reforzar")))</f>
        <v/>
      </c>
      <c r="K9" s="28" t="inlineStr">
        <is>
          <t>Integrales y probabilidad</t>
        </is>
      </c>
    </row>
    <row r="10">
      <c r="B10" s="28" t="inlineStr">
        <is>
          <t>Inglés</t>
        </is>
      </c>
      <c r="C10" s="28" t="inlineStr">
        <is>
          <t>Modelo 2025 · ordinaria</t>
        </is>
      </c>
      <c r="D10" s="24" t="n">
        <v>46289</v>
      </c>
      <c r="E10" s="27" t="n">
        <v>7.4</v>
      </c>
      <c r="F10" s="22">
        <f>IF(OR(B10="",E10=""),"",COUNTIFS($B$8:B10,B10,$E$8:E10,"&lt;&gt;"))</f>
        <v/>
      </c>
      <c r="G10" s="21">
        <f>IF(F10="","",IFERROR(INDEX(Materias!$M$8:$M$15,MATCH(B10,Materias!$B$8:$B$15,0)),""))</f>
        <v/>
      </c>
      <c r="H10" s="31">
        <f>IF(OR(F10="",G10=""),"",ROUND(E10-G10,2))</f>
        <v/>
      </c>
      <c r="I10" s="31">
        <f>IF(F10="","",IF(F10&lt;2,"",ROUND(E10-SUMIFS($E$8:$E$47,$B$8:$B$47,B10,$F$8:$F$47,F10-1),2)))</f>
        <v/>
      </c>
      <c r="J10" s="20">
        <f>IF(H10="","",IF(H10&gt;=0,"En objetivo",IF(H10&gt;=-Materias!$K$5,"Cerca","Reforzar")))</f>
        <v/>
      </c>
      <c r="K10" s="28" t="inlineStr">
        <is>
          <t>Writing: conectores</t>
        </is>
      </c>
    </row>
    <row r="11">
      <c r="B11" s="28" t="inlineStr">
        <is>
          <t>Historia de España</t>
        </is>
      </c>
      <c r="C11" s="28" t="inlineStr">
        <is>
          <t>Modelo 2025 · ordinaria</t>
        </is>
      </c>
      <c r="D11" s="24" t="n">
        <v>46291</v>
      </c>
      <c r="E11" s="27" t="n">
        <v>6</v>
      </c>
      <c r="F11" s="22">
        <f>IF(OR(B11="",E11=""),"",COUNTIFS($B$8:B11,B11,$E$8:E11,"&lt;&gt;"))</f>
        <v/>
      </c>
      <c r="G11" s="21">
        <f>IF(F11="","",IFERROR(INDEX(Materias!$M$8:$M$15,MATCH(B11,Materias!$B$8:$B$15,0)),""))</f>
        <v/>
      </c>
      <c r="H11" s="31">
        <f>IF(OR(F11="",G11=""),"",ROUND(E11-G11,2))</f>
        <v/>
      </c>
      <c r="I11" s="31">
        <f>IF(F11="","",IF(F11&lt;2,"",ROUND(E11-SUMIFS($E$8:$E$47,$B$8:$B$47,B11,$F$8:$F$47,F11-1),2)))</f>
        <v/>
      </c>
      <c r="J11" s="20">
        <f>IF(H11="","",IF(H11&gt;=0,"En objetivo",IF(H11&gt;=-Materias!$K$5,"Cerca","Reforzar")))</f>
        <v/>
      </c>
      <c r="K11" s="28" t="inlineStr">
        <is>
          <t>Siglo XIX y Restauración</t>
        </is>
      </c>
    </row>
    <row r="12">
      <c r="B12" s="28" t="inlineStr">
        <is>
          <t>Física</t>
        </is>
      </c>
      <c r="C12" s="28" t="inlineStr">
        <is>
          <t>Modelo 2025 · ordinaria</t>
        </is>
      </c>
      <c r="D12" s="24" t="n">
        <v>46298</v>
      </c>
      <c r="E12" s="27" t="n">
        <v>5.5</v>
      </c>
      <c r="F12" s="22">
        <f>IF(OR(B12="",E12=""),"",COUNTIFS($B$8:B12,B12,$E$8:E12,"&lt;&gt;"))</f>
        <v/>
      </c>
      <c r="G12" s="21">
        <f>IF(F12="","",IFERROR(INDEX(Materias!$M$8:$M$15,MATCH(B12,Materias!$B$8:$B$15,0)),""))</f>
        <v/>
      </c>
      <c r="H12" s="31">
        <f>IF(OR(F12="",G12=""),"",ROUND(E12-G12,2))</f>
        <v/>
      </c>
      <c r="I12" s="31">
        <f>IF(F12="","",IF(F12&lt;2,"",ROUND(E12-SUMIFS($E$8:$E$47,$B$8:$B$47,B12,$F$8:$F$47,F12-1),2)))</f>
        <v/>
      </c>
      <c r="J12" s="20">
        <f>IF(H12="","",IF(H12&gt;=0,"En objetivo",IF(H12&gt;=-Materias!$K$5,"Cerca","Reforzar")))</f>
        <v/>
      </c>
      <c r="K12" s="28" t="inlineStr">
        <is>
          <t>Campo gravitatorio</t>
        </is>
      </c>
    </row>
    <row r="13">
      <c r="B13" s="28" t="inlineStr">
        <is>
          <t>Química</t>
        </is>
      </c>
      <c r="C13" s="28" t="inlineStr">
        <is>
          <t>Modelo 2025 · ordinaria</t>
        </is>
      </c>
      <c r="D13" s="24" t="n">
        <v>46300</v>
      </c>
      <c r="E13" s="27" t="n">
        <v>6</v>
      </c>
      <c r="F13" s="22">
        <f>IF(OR(B13="",E13=""),"",COUNTIFS($B$8:B13,B13,$E$8:E13,"&lt;&gt;"))</f>
        <v/>
      </c>
      <c r="G13" s="21">
        <f>IF(F13="","",IFERROR(INDEX(Materias!$M$8:$M$15,MATCH(B13,Materias!$B$8:$B$15,0)),""))</f>
        <v/>
      </c>
      <c r="H13" s="31">
        <f>IF(OR(F13="",G13=""),"",ROUND(E13-G13,2))</f>
        <v/>
      </c>
      <c r="I13" s="31">
        <f>IF(F13="","",IF(F13&lt;2,"",ROUND(E13-SUMIFS($E$8:$E$47,$B$8:$B$47,B13,$F$8:$F$47,F13-1),2)))</f>
        <v/>
      </c>
      <c r="J13" s="20">
        <f>IF(H13="","",IF(H13&gt;=0,"En objetivo",IF(H13&gt;=-Materias!$K$5,"Cerca","Reforzar")))</f>
        <v/>
      </c>
      <c r="K13" s="28" t="inlineStr">
        <is>
          <t>Equilibrio y ácido-base</t>
        </is>
      </c>
    </row>
    <row r="14">
      <c r="B14" s="28" t="inlineStr">
        <is>
          <t>Biología</t>
        </is>
      </c>
      <c r="C14" s="28" t="inlineStr">
        <is>
          <t>Modelo 2025 · ordinaria</t>
        </is>
      </c>
      <c r="D14" s="24" t="n">
        <v>46303</v>
      </c>
      <c r="E14" s="27" t="n">
        <v>6.8</v>
      </c>
      <c r="F14" s="22">
        <f>IF(OR(B14="",E14=""),"",COUNTIFS($B$8:B14,B14,$E$8:E14,"&lt;&gt;"))</f>
        <v/>
      </c>
      <c r="G14" s="21">
        <f>IF(F14="","",IFERROR(INDEX(Materias!$M$8:$M$15,MATCH(B14,Materias!$B$8:$B$15,0)),""))</f>
        <v/>
      </c>
      <c r="H14" s="31">
        <f>IF(OR(F14="",G14=""),"",ROUND(E14-G14,2))</f>
        <v/>
      </c>
      <c r="I14" s="31">
        <f>IF(F14="","",IF(F14&lt;2,"",ROUND(E14-SUMIFS($E$8:$E$47,$B$8:$B$47,B14,$F$8:$F$47,F14-1),2)))</f>
        <v/>
      </c>
      <c r="J14" s="20">
        <f>IF(H14="","",IF(H14&gt;=0,"En objetivo",IF(H14&gt;=-Materias!$K$5,"Cerca","Reforzar")))</f>
        <v/>
      </c>
      <c r="K14" s="28" t="inlineStr">
        <is>
          <t>Genética mendeliana</t>
        </is>
      </c>
    </row>
    <row r="15">
      <c r="B15" s="28" t="inlineStr">
        <is>
          <t>Lengua Castellana y Literatura II</t>
        </is>
      </c>
      <c r="C15" s="28" t="inlineStr">
        <is>
          <t>Modelo 2025 · extraordinaria</t>
        </is>
      </c>
      <c r="D15" s="24" t="n">
        <v>46312</v>
      </c>
      <c r="E15" s="27" t="n">
        <v>6.3</v>
      </c>
      <c r="F15" s="22">
        <f>IF(OR(B15="",E15=""),"",COUNTIFS($B$8:B15,B15,$E$8:E15,"&lt;&gt;"))</f>
        <v/>
      </c>
      <c r="G15" s="21">
        <f>IF(F15="","",IFERROR(INDEX(Materias!$M$8:$M$15,MATCH(B15,Materias!$B$8:$B$15,0)),""))</f>
        <v/>
      </c>
      <c r="H15" s="31">
        <f>IF(OR(F15="",G15=""),"",ROUND(E15-G15,2))</f>
        <v/>
      </c>
      <c r="I15" s="31">
        <f>IF(F15="","",IF(F15&lt;2,"",ROUND(E15-SUMIFS($E$8:$E$47,$B$8:$B$47,B15,$F$8:$F$47,F15-1),2)))</f>
        <v/>
      </c>
      <c r="J15" s="20">
        <f>IF(H15="","",IF(H15&gt;=0,"En objetivo",IF(H15&gt;=-Materias!$K$5,"Cerca","Reforzar")))</f>
        <v/>
      </c>
      <c r="K15" s="28" t="inlineStr">
        <is>
          <t>Argumentación</t>
        </is>
      </c>
    </row>
    <row r="16">
      <c r="B16" s="28" t="inlineStr">
        <is>
          <t>Matemáticas II</t>
        </is>
      </c>
      <c r="C16" s="28" t="inlineStr">
        <is>
          <t>Modelo 2025 · extraordinaria</t>
        </is>
      </c>
      <c r="D16" s="24" t="n">
        <v>46314</v>
      </c>
      <c r="E16" s="27" t="n">
        <v>6.9</v>
      </c>
      <c r="F16" s="22">
        <f>IF(OR(B16="",E16=""),"",COUNTIFS($B$8:B16,B16,$E$8:E16,"&lt;&gt;"))</f>
        <v/>
      </c>
      <c r="G16" s="21">
        <f>IF(F16="","",IFERROR(INDEX(Materias!$M$8:$M$15,MATCH(B16,Materias!$B$8:$B$15,0)),""))</f>
        <v/>
      </c>
      <c r="H16" s="31">
        <f>IF(OR(F16="",G16=""),"",ROUND(E16-G16,2))</f>
        <v/>
      </c>
      <c r="I16" s="31">
        <f>IF(F16="","",IF(F16&lt;2,"",ROUND(E16-SUMIFS($E$8:$E$47,$B$8:$B$47,B16,$F$8:$F$47,F16-1),2)))</f>
        <v/>
      </c>
      <c r="J16" s="20">
        <f>IF(H16="","",IF(H16&gt;=0,"En objetivo",IF(H16&gt;=-Materias!$K$5,"Cerca","Reforzar")))</f>
        <v/>
      </c>
      <c r="K16" s="28" t="inlineStr">
        <is>
          <t>Geometría en el espacio</t>
        </is>
      </c>
    </row>
    <row r="17">
      <c r="B17" s="28" t="inlineStr">
        <is>
          <t>Inglés</t>
        </is>
      </c>
      <c r="C17" s="28" t="inlineStr">
        <is>
          <t>Modelo 2025 · extraordinaria</t>
        </is>
      </c>
      <c r="D17" s="24" t="n">
        <v>46317</v>
      </c>
      <c r="E17" s="27" t="n">
        <v>7.8</v>
      </c>
      <c r="F17" s="22">
        <f>IF(OR(B17="",E17=""),"",COUNTIFS($B$8:B17,B17,$E$8:E17,"&lt;&gt;"))</f>
        <v/>
      </c>
      <c r="G17" s="21">
        <f>IF(F17="","",IFERROR(INDEX(Materias!$M$8:$M$15,MATCH(B17,Materias!$B$8:$B$15,0)),""))</f>
        <v/>
      </c>
      <c r="H17" s="31">
        <f>IF(OR(F17="",G17=""),"",ROUND(E17-G17,2))</f>
        <v/>
      </c>
      <c r="I17" s="31">
        <f>IF(F17="","",IF(F17&lt;2,"",ROUND(E17-SUMIFS($E$8:$E$47,$B$8:$B$47,B17,$F$8:$F$47,F17-1),2)))</f>
        <v/>
      </c>
      <c r="J17" s="20">
        <f>IF(H17="","",IF(H17&gt;=0,"En objetivo",IF(H17&gt;=-Materias!$K$5,"Cerca","Reforzar")))</f>
        <v/>
      </c>
      <c r="K17" s="28" t="n"/>
    </row>
    <row r="18">
      <c r="B18" s="28" t="inlineStr">
        <is>
          <t>Historia de España</t>
        </is>
      </c>
      <c r="C18" s="28" t="inlineStr">
        <is>
          <t>Modelo 2025 · extraordinaria</t>
        </is>
      </c>
      <c r="D18" s="24" t="n">
        <v>46319</v>
      </c>
      <c r="E18" s="27" t="n">
        <v>6.7</v>
      </c>
      <c r="F18" s="22">
        <f>IF(OR(B18="",E18=""),"",COUNTIFS($B$8:B18,B18,$E$8:E18,"&lt;&gt;"))</f>
        <v/>
      </c>
      <c r="G18" s="21">
        <f>IF(F18="","",IFERROR(INDEX(Materias!$M$8:$M$15,MATCH(B18,Materias!$B$8:$B$15,0)),""))</f>
        <v/>
      </c>
      <c r="H18" s="31">
        <f>IF(OR(F18="",G18=""),"",ROUND(E18-G18,2))</f>
        <v/>
      </c>
      <c r="I18" s="31">
        <f>IF(F18="","",IF(F18&lt;2,"",ROUND(E18-SUMIFS($E$8:$E$47,$B$8:$B$47,B18,$F$8:$F$47,F18-1),2)))</f>
        <v/>
      </c>
      <c r="J18" s="20">
        <f>IF(H18="","",IF(H18&gt;=0,"En objetivo",IF(H18&gt;=-Materias!$K$5,"Cerca","Reforzar")))</f>
        <v/>
      </c>
      <c r="K18" s="28" t="inlineStr">
        <is>
          <t>Franquismo</t>
        </is>
      </c>
    </row>
    <row r="19">
      <c r="B19" s="28" t="inlineStr">
        <is>
          <t>Física</t>
        </is>
      </c>
      <c r="C19" s="28" t="inlineStr">
        <is>
          <t>Modelo 2025 · extraordinaria</t>
        </is>
      </c>
      <c r="D19" s="24" t="n">
        <v>46326</v>
      </c>
      <c r="E19" s="27" t="n">
        <v>6.1</v>
      </c>
      <c r="F19" s="22">
        <f>IF(OR(B19="",E19=""),"",COUNTIFS($B$8:B19,B19,$E$8:E19,"&lt;&gt;"))</f>
        <v/>
      </c>
      <c r="G19" s="21">
        <f>IF(F19="","",IFERROR(INDEX(Materias!$M$8:$M$15,MATCH(B19,Materias!$B$8:$B$15,0)),""))</f>
        <v/>
      </c>
      <c r="H19" s="31">
        <f>IF(OR(F19="",G19=""),"",ROUND(E19-G19,2))</f>
        <v/>
      </c>
      <c r="I19" s="31">
        <f>IF(F19="","",IF(F19&lt;2,"",ROUND(E19-SUMIFS($E$8:$E$47,$B$8:$B$47,B19,$F$8:$F$47,F19-1),2)))</f>
        <v/>
      </c>
      <c r="J19" s="20">
        <f>IF(H19="","",IF(H19&gt;=0,"En objetivo",IF(H19&gt;=-Materias!$K$5,"Cerca","Reforzar")))</f>
        <v/>
      </c>
      <c r="K19" s="28" t="inlineStr">
        <is>
          <t>Inducción electromagnética</t>
        </is>
      </c>
    </row>
    <row r="20">
      <c r="B20" s="28" t="inlineStr">
        <is>
          <t>Química</t>
        </is>
      </c>
      <c r="C20" s="28" t="inlineStr">
        <is>
          <t>Modelo 2025 · extraordinaria</t>
        </is>
      </c>
      <c r="D20" s="24" t="n">
        <v>46328</v>
      </c>
      <c r="E20" s="27" t="n">
        <v>6.5</v>
      </c>
      <c r="F20" s="22">
        <f>IF(OR(B20="",E20=""),"",COUNTIFS($B$8:B20,B20,$E$8:E20,"&lt;&gt;"))</f>
        <v/>
      </c>
      <c r="G20" s="21">
        <f>IF(F20="","",IFERROR(INDEX(Materias!$M$8:$M$15,MATCH(B20,Materias!$B$8:$B$15,0)),""))</f>
        <v/>
      </c>
      <c r="H20" s="31">
        <f>IF(OR(F20="",G20=""),"",ROUND(E20-G20,2))</f>
        <v/>
      </c>
      <c r="I20" s="31">
        <f>IF(F20="","",IF(F20&lt;2,"",ROUND(E20-SUMIFS($E$8:$E$47,$B$8:$B$47,B20,$F$8:$F$47,F20-1),2)))</f>
        <v/>
      </c>
      <c r="J20" s="20">
        <f>IF(H20="","",IF(H20&gt;=0,"En objetivo",IF(H20&gt;=-Materias!$K$5,"Cerca","Reforzar")))</f>
        <v/>
      </c>
      <c r="K20" s="28" t="inlineStr">
        <is>
          <t>Formulación orgánica</t>
        </is>
      </c>
    </row>
    <row r="21">
      <c r="B21" s="28" t="inlineStr">
        <is>
          <t>Biología</t>
        </is>
      </c>
      <c r="C21" s="28" t="inlineStr">
        <is>
          <t>Modelo 2025 · extraordinaria</t>
        </is>
      </c>
      <c r="D21" s="24" t="n">
        <v>46333</v>
      </c>
      <c r="E21" s="27" t="n">
        <v>7.3</v>
      </c>
      <c r="F21" s="22">
        <f>IF(OR(B21="",E21=""),"",COUNTIFS($B$8:B21,B21,$E$8:E21,"&lt;&gt;"))</f>
        <v/>
      </c>
      <c r="G21" s="21">
        <f>IF(F21="","",IFERROR(INDEX(Materias!$M$8:$M$15,MATCH(B21,Materias!$B$8:$B$15,0)),""))</f>
        <v/>
      </c>
      <c r="H21" s="31">
        <f>IF(OR(F21="",G21=""),"",ROUND(E21-G21,2))</f>
        <v/>
      </c>
      <c r="I21" s="31">
        <f>IF(F21="","",IF(F21&lt;2,"",ROUND(E21-SUMIFS($E$8:$E$47,$B$8:$B$47,B21,$F$8:$F$47,F21-1),2)))</f>
        <v/>
      </c>
      <c r="J21" s="20">
        <f>IF(H21="","",IF(H21&gt;=0,"En objetivo",IF(H21&gt;=-Materias!$K$5,"Cerca","Reforzar")))</f>
        <v/>
      </c>
      <c r="K21" s="28" t="n"/>
    </row>
    <row r="22">
      <c r="B22" s="28" t="inlineStr">
        <is>
          <t>Lengua Castellana y Literatura II</t>
        </is>
      </c>
      <c r="C22" s="28" t="inlineStr">
        <is>
          <t>Modelo 2024 · ordinaria</t>
        </is>
      </c>
      <c r="D22" s="24" t="n">
        <v>46347</v>
      </c>
      <c r="E22" s="27" t="n">
        <v>6.9</v>
      </c>
      <c r="F22" s="22">
        <f>IF(OR(B22="",E22=""),"",COUNTIFS($B$8:B22,B22,$E$8:E22,"&lt;&gt;"))</f>
        <v/>
      </c>
      <c r="G22" s="21">
        <f>IF(F22="","",IFERROR(INDEX(Materias!$M$8:$M$15,MATCH(B22,Materias!$B$8:$B$15,0)),""))</f>
        <v/>
      </c>
      <c r="H22" s="31">
        <f>IF(OR(F22="",G22=""),"",ROUND(E22-G22,2))</f>
        <v/>
      </c>
      <c r="I22" s="31">
        <f>IF(F22="","",IF(F22&lt;2,"",ROUND(E22-SUMIFS($E$8:$E$47,$B$8:$B$47,B22,$F$8:$F$47,F22-1),2)))</f>
        <v/>
      </c>
      <c r="J22" s="20">
        <f>IF(H22="","",IF(H22&gt;=0,"En objetivo",IF(H22&gt;=-Materias!$K$5,"Cerca","Reforzar")))</f>
        <v/>
      </c>
      <c r="K22" s="28" t="inlineStr">
        <is>
          <t>Literatura del siglo XX</t>
        </is>
      </c>
    </row>
    <row r="23">
      <c r="B23" s="28" t="inlineStr">
        <is>
          <t>Matemáticas II</t>
        </is>
      </c>
      <c r="C23" s="28" t="inlineStr">
        <is>
          <t>Modelo 2024 · ordinaria</t>
        </is>
      </c>
      <c r="D23" s="24" t="n">
        <v>46349</v>
      </c>
      <c r="E23" s="27" t="n">
        <v>7.6</v>
      </c>
      <c r="F23" s="22">
        <f>IF(OR(B23="",E23=""),"",COUNTIFS($B$8:B23,B23,$E$8:E23,"&lt;&gt;"))</f>
        <v/>
      </c>
      <c r="G23" s="21">
        <f>IF(F23="","",IFERROR(INDEX(Materias!$M$8:$M$15,MATCH(B23,Materias!$B$8:$B$15,0)),""))</f>
        <v/>
      </c>
      <c r="H23" s="31">
        <f>IF(OR(F23="",G23=""),"",ROUND(E23-G23,2))</f>
        <v/>
      </c>
      <c r="I23" s="31">
        <f>IF(F23="","",IF(F23&lt;2,"",ROUND(E23-SUMIFS($E$8:$E$47,$B$8:$B$47,B23,$F$8:$F$47,F23-1),2)))</f>
        <v/>
      </c>
      <c r="J23" s="20">
        <f>IF(H23="","",IF(H23&gt;=0,"En objetivo",IF(H23&gt;=-Materias!$K$5,"Cerca","Reforzar")))</f>
        <v/>
      </c>
      <c r="K23" s="28" t="n"/>
    </row>
    <row r="24">
      <c r="B24" s="28" t="inlineStr">
        <is>
          <t>Inglés</t>
        </is>
      </c>
      <c r="C24" s="28" t="inlineStr">
        <is>
          <t>Modelo 2024 · ordinaria</t>
        </is>
      </c>
      <c r="D24" s="24" t="n">
        <v>46352</v>
      </c>
      <c r="E24" s="27" t="n">
        <v>8</v>
      </c>
      <c r="F24" s="22">
        <f>IF(OR(B24="",E24=""),"",COUNTIFS($B$8:B24,B24,$E$8:E24,"&lt;&gt;"))</f>
        <v/>
      </c>
      <c r="G24" s="21">
        <f>IF(F24="","",IFERROR(INDEX(Materias!$M$8:$M$15,MATCH(B24,Materias!$B$8:$B$15,0)),""))</f>
        <v/>
      </c>
      <c r="H24" s="31">
        <f>IF(OR(F24="",G24=""),"",ROUND(E24-G24,2))</f>
        <v/>
      </c>
      <c r="I24" s="31">
        <f>IF(F24="","",IF(F24&lt;2,"",ROUND(E24-SUMIFS($E$8:$E$47,$B$8:$B$47,B24,$F$8:$F$47,F24-1),2)))</f>
        <v/>
      </c>
      <c r="J24" s="20">
        <f>IF(H24="","",IF(H24&gt;=0,"En objetivo",IF(H24&gt;=-Materias!$K$5,"Cerca","Reforzar")))</f>
        <v/>
      </c>
      <c r="K24" s="28" t="n"/>
    </row>
    <row r="25">
      <c r="B25" s="28" t="inlineStr">
        <is>
          <t>Historia de España</t>
        </is>
      </c>
      <c r="C25" s="28" t="inlineStr">
        <is>
          <t>Modelo 2024 · ordinaria</t>
        </is>
      </c>
      <c r="D25" s="24" t="n">
        <v>46354</v>
      </c>
      <c r="E25" s="27" t="n">
        <v>7.2</v>
      </c>
      <c r="F25" s="22">
        <f>IF(OR(B25="",E25=""),"",COUNTIFS($B$8:B25,B25,$E$8:E25,"&lt;&gt;"))</f>
        <v/>
      </c>
      <c r="G25" s="21">
        <f>IF(F25="","",IFERROR(INDEX(Materias!$M$8:$M$15,MATCH(B25,Materias!$B$8:$B$15,0)),""))</f>
        <v/>
      </c>
      <c r="H25" s="31">
        <f>IF(OR(F25="",G25=""),"",ROUND(E25-G25,2))</f>
        <v/>
      </c>
      <c r="I25" s="31">
        <f>IF(F25="","",IF(F25&lt;2,"",ROUND(E25-SUMIFS($E$8:$E$47,$B$8:$B$47,B25,$F$8:$F$47,F25-1),2)))</f>
        <v/>
      </c>
      <c r="J25" s="20">
        <f>IF(H25="","",IF(H25&gt;=0,"En objetivo",IF(H25&gt;=-Materias!$K$5,"Cerca","Reforzar")))</f>
        <v/>
      </c>
      <c r="K25" s="28" t="inlineStr">
        <is>
          <t>Transición</t>
        </is>
      </c>
    </row>
    <row r="26">
      <c r="B26" s="28" t="inlineStr">
        <is>
          <t>Física</t>
        </is>
      </c>
      <c r="C26" s="28" t="inlineStr">
        <is>
          <t>Modelo 2024 · ordinaria</t>
        </is>
      </c>
      <c r="D26" s="24" t="n">
        <v>46361</v>
      </c>
      <c r="E26" s="27" t="n">
        <v>6.8</v>
      </c>
      <c r="F26" s="22">
        <f>IF(OR(B26="",E26=""),"",COUNTIFS($B$8:B26,B26,$E$8:E26,"&lt;&gt;"))</f>
        <v/>
      </c>
      <c r="G26" s="21">
        <f>IF(F26="","",IFERROR(INDEX(Materias!$M$8:$M$15,MATCH(B26,Materias!$B$8:$B$15,0)),""))</f>
        <v/>
      </c>
      <c r="H26" s="31">
        <f>IF(OR(F26="",G26=""),"",ROUND(E26-G26,2))</f>
        <v/>
      </c>
      <c r="I26" s="31">
        <f>IF(F26="","",IF(F26&lt;2,"",ROUND(E26-SUMIFS($E$8:$E$47,$B$8:$B$47,B26,$F$8:$F$47,F26-1),2)))</f>
        <v/>
      </c>
      <c r="J26" s="20">
        <f>IF(H26="","",IF(H26&gt;=0,"En objetivo",IF(H26&gt;=-Materias!$K$5,"Cerca","Reforzar")))</f>
        <v/>
      </c>
      <c r="K26" s="28" t="inlineStr">
        <is>
          <t>Óptica</t>
        </is>
      </c>
    </row>
    <row r="27">
      <c r="B27" s="28" t="inlineStr">
        <is>
          <t>Química</t>
        </is>
      </c>
      <c r="C27" s="28" t="inlineStr">
        <is>
          <t>Modelo 2024 · ordinaria</t>
        </is>
      </c>
      <c r="D27" s="24" t="n">
        <v>46363</v>
      </c>
      <c r="E27" s="27" t="n">
        <v>7</v>
      </c>
      <c r="F27" s="22">
        <f>IF(OR(B27="",E27=""),"",COUNTIFS($B$8:B27,B27,$E$8:E27,"&lt;&gt;"))</f>
        <v/>
      </c>
      <c r="G27" s="21">
        <f>IF(F27="","",IFERROR(INDEX(Materias!$M$8:$M$15,MATCH(B27,Materias!$B$8:$B$15,0)),""))</f>
        <v/>
      </c>
      <c r="H27" s="31">
        <f>IF(OR(F27="",G27=""),"",ROUND(E27-G27,2))</f>
        <v/>
      </c>
      <c r="I27" s="31">
        <f>IF(F27="","",IF(F27&lt;2,"",ROUND(E27-SUMIFS($E$8:$E$47,$B$8:$B$47,B27,$F$8:$F$47,F27-1),2)))</f>
        <v/>
      </c>
      <c r="J27" s="20">
        <f>IF(H27="","",IF(H27&gt;=0,"En objetivo",IF(H27&gt;=-Materias!$K$5,"Cerca","Reforzar")))</f>
        <v/>
      </c>
      <c r="K27" s="28" t="inlineStr">
        <is>
          <t>Electroquímica</t>
        </is>
      </c>
    </row>
    <row r="28">
      <c r="B28" s="28" t="inlineStr">
        <is>
          <t>Biología</t>
        </is>
      </c>
      <c r="C28" s="28" t="inlineStr">
        <is>
          <t>Modelo 2024 · ordinaria</t>
        </is>
      </c>
      <c r="D28" s="24" t="n">
        <v>46368</v>
      </c>
      <c r="E28" s="27" t="n">
        <v>7.8</v>
      </c>
      <c r="F28" s="22">
        <f>IF(OR(B28="",E28=""),"",COUNTIFS($B$8:B28,B28,$E$8:E28,"&lt;&gt;"))</f>
        <v/>
      </c>
      <c r="G28" s="21">
        <f>IF(F28="","",IFERROR(INDEX(Materias!$M$8:$M$15,MATCH(B28,Materias!$B$8:$B$15,0)),""))</f>
        <v/>
      </c>
      <c r="H28" s="31">
        <f>IF(OR(F28="",G28=""),"",ROUND(E28-G28,2))</f>
        <v/>
      </c>
      <c r="I28" s="31">
        <f>IF(F28="","",IF(F28&lt;2,"",ROUND(E28-SUMIFS($E$8:$E$47,$B$8:$B$47,B28,$F$8:$F$47,F28-1),2)))</f>
        <v/>
      </c>
      <c r="J28" s="20">
        <f>IF(H28="","",IF(H28&gt;=0,"En objetivo",IF(H28&gt;=-Materias!$K$5,"Cerca","Reforzar")))</f>
        <v/>
      </c>
      <c r="K28" s="28" t="n"/>
    </row>
    <row r="29">
      <c r="B29" s="28" t="n"/>
      <c r="C29" s="28" t="n"/>
      <c r="D29" s="24" t="n"/>
      <c r="E29" s="27" t="n"/>
      <c r="F29" s="22">
        <f>IF(OR(B29="",E29=""),"",COUNTIFS($B$8:B29,B29,$E$8:E29,"&lt;&gt;"))</f>
        <v/>
      </c>
      <c r="G29" s="21">
        <f>IF(F29="","",IFERROR(INDEX(Materias!$M$8:$M$15,MATCH(B29,Materias!$B$8:$B$15,0)),""))</f>
        <v/>
      </c>
      <c r="H29" s="31">
        <f>IF(OR(F29="",G29=""),"",ROUND(E29-G29,2))</f>
        <v/>
      </c>
      <c r="I29" s="31">
        <f>IF(F29="","",IF(F29&lt;2,"",ROUND(E29-SUMIFS($E$8:$E$47,$B$8:$B$47,B29,$F$8:$F$47,F29-1),2)))</f>
        <v/>
      </c>
      <c r="J29" s="20">
        <f>IF(H29="","",IF(H29&gt;=0,"En objetivo",IF(H29&gt;=-Materias!$K$5,"Cerca","Reforzar")))</f>
        <v/>
      </c>
      <c r="K29" s="28" t="n"/>
    </row>
    <row r="30">
      <c r="B30" s="28" t="n"/>
      <c r="C30" s="28" t="n"/>
      <c r="D30" s="24" t="n"/>
      <c r="E30" s="27" t="n"/>
      <c r="F30" s="22">
        <f>IF(OR(B30="",E30=""),"",COUNTIFS($B$8:B30,B30,$E$8:E30,"&lt;&gt;"))</f>
        <v/>
      </c>
      <c r="G30" s="21">
        <f>IF(F30="","",IFERROR(INDEX(Materias!$M$8:$M$15,MATCH(B30,Materias!$B$8:$B$15,0)),""))</f>
        <v/>
      </c>
      <c r="H30" s="31">
        <f>IF(OR(F30="",G30=""),"",ROUND(E30-G30,2))</f>
        <v/>
      </c>
      <c r="I30" s="31">
        <f>IF(F30="","",IF(F30&lt;2,"",ROUND(E30-SUMIFS($E$8:$E$47,$B$8:$B$47,B30,$F$8:$F$47,F30-1),2)))</f>
        <v/>
      </c>
      <c r="J30" s="20">
        <f>IF(H30="","",IF(H30&gt;=0,"En objetivo",IF(H30&gt;=-Materias!$K$5,"Cerca","Reforzar")))</f>
        <v/>
      </c>
      <c r="K30" s="28" t="n"/>
    </row>
    <row r="31">
      <c r="B31" s="28" t="n"/>
      <c r="C31" s="28" t="n"/>
      <c r="D31" s="24" t="n"/>
      <c r="E31" s="27" t="n"/>
      <c r="F31" s="22">
        <f>IF(OR(B31="",E31=""),"",COUNTIFS($B$8:B31,B31,$E$8:E31,"&lt;&gt;"))</f>
        <v/>
      </c>
      <c r="G31" s="21">
        <f>IF(F31="","",IFERROR(INDEX(Materias!$M$8:$M$15,MATCH(B31,Materias!$B$8:$B$15,0)),""))</f>
        <v/>
      </c>
      <c r="H31" s="31">
        <f>IF(OR(F31="",G31=""),"",ROUND(E31-G31,2))</f>
        <v/>
      </c>
      <c r="I31" s="31">
        <f>IF(F31="","",IF(F31&lt;2,"",ROUND(E31-SUMIFS($E$8:$E$47,$B$8:$B$47,B31,$F$8:$F$47,F31-1),2)))</f>
        <v/>
      </c>
      <c r="J31" s="20">
        <f>IF(H31="","",IF(H31&gt;=0,"En objetivo",IF(H31&gt;=-Materias!$K$5,"Cerca","Reforzar")))</f>
        <v/>
      </c>
      <c r="K31" s="28" t="n"/>
    </row>
    <row r="32">
      <c r="B32" s="28" t="n"/>
      <c r="C32" s="28" t="n"/>
      <c r="D32" s="24" t="n"/>
      <c r="E32" s="27" t="n"/>
      <c r="F32" s="22">
        <f>IF(OR(B32="",E32=""),"",COUNTIFS($B$8:B32,B32,$E$8:E32,"&lt;&gt;"))</f>
        <v/>
      </c>
      <c r="G32" s="21">
        <f>IF(F32="","",IFERROR(INDEX(Materias!$M$8:$M$15,MATCH(B32,Materias!$B$8:$B$15,0)),""))</f>
        <v/>
      </c>
      <c r="H32" s="31">
        <f>IF(OR(F32="",G32=""),"",ROUND(E32-G32,2))</f>
        <v/>
      </c>
      <c r="I32" s="31">
        <f>IF(F32="","",IF(F32&lt;2,"",ROUND(E32-SUMIFS($E$8:$E$47,$B$8:$B$47,B32,$F$8:$F$47,F32-1),2)))</f>
        <v/>
      </c>
      <c r="J32" s="20">
        <f>IF(H32="","",IF(H32&gt;=0,"En objetivo",IF(H32&gt;=-Materias!$K$5,"Cerca","Reforzar")))</f>
        <v/>
      </c>
      <c r="K32" s="28" t="n"/>
    </row>
    <row r="33">
      <c r="B33" s="28" t="n"/>
      <c r="C33" s="28" t="n"/>
      <c r="D33" s="24" t="n"/>
      <c r="E33" s="27" t="n"/>
      <c r="F33" s="22">
        <f>IF(OR(B33="",E33=""),"",COUNTIFS($B$8:B33,B33,$E$8:E33,"&lt;&gt;"))</f>
        <v/>
      </c>
      <c r="G33" s="21">
        <f>IF(F33="","",IFERROR(INDEX(Materias!$M$8:$M$15,MATCH(B33,Materias!$B$8:$B$15,0)),""))</f>
        <v/>
      </c>
      <c r="H33" s="31">
        <f>IF(OR(F33="",G33=""),"",ROUND(E33-G33,2))</f>
        <v/>
      </c>
      <c r="I33" s="31">
        <f>IF(F33="","",IF(F33&lt;2,"",ROUND(E33-SUMIFS($E$8:$E$47,$B$8:$B$47,B33,$F$8:$F$47,F33-1),2)))</f>
        <v/>
      </c>
      <c r="J33" s="20">
        <f>IF(H33="","",IF(H33&gt;=0,"En objetivo",IF(H33&gt;=-Materias!$K$5,"Cerca","Reforzar")))</f>
        <v/>
      </c>
      <c r="K33" s="28" t="n"/>
    </row>
    <row r="34">
      <c r="B34" s="28" t="n"/>
      <c r="C34" s="28" t="n"/>
      <c r="D34" s="24" t="n"/>
      <c r="E34" s="27" t="n"/>
      <c r="F34" s="22">
        <f>IF(OR(B34="",E34=""),"",COUNTIFS($B$8:B34,B34,$E$8:E34,"&lt;&gt;"))</f>
        <v/>
      </c>
      <c r="G34" s="21">
        <f>IF(F34="","",IFERROR(INDEX(Materias!$M$8:$M$15,MATCH(B34,Materias!$B$8:$B$15,0)),""))</f>
        <v/>
      </c>
      <c r="H34" s="31">
        <f>IF(OR(F34="",G34=""),"",ROUND(E34-G34,2))</f>
        <v/>
      </c>
      <c r="I34" s="31">
        <f>IF(F34="","",IF(F34&lt;2,"",ROUND(E34-SUMIFS($E$8:$E$47,$B$8:$B$47,B34,$F$8:$F$47,F34-1),2)))</f>
        <v/>
      </c>
      <c r="J34" s="20">
        <f>IF(H34="","",IF(H34&gt;=0,"En objetivo",IF(H34&gt;=-Materias!$K$5,"Cerca","Reforzar")))</f>
        <v/>
      </c>
      <c r="K34" s="28" t="n"/>
    </row>
    <row r="35">
      <c r="B35" s="28" t="n"/>
      <c r="C35" s="28" t="n"/>
      <c r="D35" s="24" t="n"/>
      <c r="E35" s="27" t="n"/>
      <c r="F35" s="22">
        <f>IF(OR(B35="",E35=""),"",COUNTIFS($B$8:B35,B35,$E$8:E35,"&lt;&gt;"))</f>
        <v/>
      </c>
      <c r="G35" s="21">
        <f>IF(F35="","",IFERROR(INDEX(Materias!$M$8:$M$15,MATCH(B35,Materias!$B$8:$B$15,0)),""))</f>
        <v/>
      </c>
      <c r="H35" s="31">
        <f>IF(OR(F35="",G35=""),"",ROUND(E35-G35,2))</f>
        <v/>
      </c>
      <c r="I35" s="31">
        <f>IF(F35="","",IF(F35&lt;2,"",ROUND(E35-SUMIFS($E$8:$E$47,$B$8:$B$47,B35,$F$8:$F$47,F35-1),2)))</f>
        <v/>
      </c>
      <c r="J35" s="20">
        <f>IF(H35="","",IF(H35&gt;=0,"En objetivo",IF(H35&gt;=-Materias!$K$5,"Cerca","Reforzar")))</f>
        <v/>
      </c>
      <c r="K35" s="28" t="n"/>
    </row>
    <row r="36">
      <c r="B36" s="28" t="n"/>
      <c r="C36" s="28" t="n"/>
      <c r="D36" s="24" t="n"/>
      <c r="E36" s="27" t="n"/>
      <c r="F36" s="22">
        <f>IF(OR(B36="",E36=""),"",COUNTIFS($B$8:B36,B36,$E$8:E36,"&lt;&gt;"))</f>
        <v/>
      </c>
      <c r="G36" s="21">
        <f>IF(F36="","",IFERROR(INDEX(Materias!$M$8:$M$15,MATCH(B36,Materias!$B$8:$B$15,0)),""))</f>
        <v/>
      </c>
      <c r="H36" s="31">
        <f>IF(OR(F36="",G36=""),"",ROUND(E36-G36,2))</f>
        <v/>
      </c>
      <c r="I36" s="31">
        <f>IF(F36="","",IF(F36&lt;2,"",ROUND(E36-SUMIFS($E$8:$E$47,$B$8:$B$47,B36,$F$8:$F$47,F36-1),2)))</f>
        <v/>
      </c>
      <c r="J36" s="20">
        <f>IF(H36="","",IF(H36&gt;=0,"En objetivo",IF(H36&gt;=-Materias!$K$5,"Cerca","Reforzar")))</f>
        <v/>
      </c>
      <c r="K36" s="28" t="n"/>
    </row>
    <row r="37">
      <c r="B37" s="28" t="n"/>
      <c r="C37" s="28" t="n"/>
      <c r="D37" s="24" t="n"/>
      <c r="E37" s="27" t="n"/>
      <c r="F37" s="22">
        <f>IF(OR(B37="",E37=""),"",COUNTIFS($B$8:B37,B37,$E$8:E37,"&lt;&gt;"))</f>
        <v/>
      </c>
      <c r="G37" s="21">
        <f>IF(F37="","",IFERROR(INDEX(Materias!$M$8:$M$15,MATCH(B37,Materias!$B$8:$B$15,0)),""))</f>
        <v/>
      </c>
      <c r="H37" s="31">
        <f>IF(OR(F37="",G37=""),"",ROUND(E37-G37,2))</f>
        <v/>
      </c>
      <c r="I37" s="31">
        <f>IF(F37="","",IF(F37&lt;2,"",ROUND(E37-SUMIFS($E$8:$E$47,$B$8:$B$47,B37,$F$8:$F$47,F37-1),2)))</f>
        <v/>
      </c>
      <c r="J37" s="20">
        <f>IF(H37="","",IF(H37&gt;=0,"En objetivo",IF(H37&gt;=-Materias!$K$5,"Cerca","Reforzar")))</f>
        <v/>
      </c>
      <c r="K37" s="28" t="n"/>
    </row>
    <row r="38">
      <c r="B38" s="28" t="n"/>
      <c r="C38" s="28" t="n"/>
      <c r="D38" s="24" t="n"/>
      <c r="E38" s="27" t="n"/>
      <c r="F38" s="22">
        <f>IF(OR(B38="",E38=""),"",COUNTIFS($B$8:B38,B38,$E$8:E38,"&lt;&gt;"))</f>
        <v/>
      </c>
      <c r="G38" s="21">
        <f>IF(F38="","",IFERROR(INDEX(Materias!$M$8:$M$15,MATCH(B38,Materias!$B$8:$B$15,0)),""))</f>
        <v/>
      </c>
      <c r="H38" s="31">
        <f>IF(OR(F38="",G38=""),"",ROUND(E38-G38,2))</f>
        <v/>
      </c>
      <c r="I38" s="31">
        <f>IF(F38="","",IF(F38&lt;2,"",ROUND(E38-SUMIFS($E$8:$E$47,$B$8:$B$47,B38,$F$8:$F$47,F38-1),2)))</f>
        <v/>
      </c>
      <c r="J38" s="20">
        <f>IF(H38="","",IF(H38&gt;=0,"En objetivo",IF(H38&gt;=-Materias!$K$5,"Cerca","Reforzar")))</f>
        <v/>
      </c>
      <c r="K38" s="28" t="n"/>
    </row>
    <row r="39">
      <c r="B39" s="28" t="n"/>
      <c r="C39" s="28" t="n"/>
      <c r="D39" s="24" t="n"/>
      <c r="E39" s="27" t="n"/>
      <c r="F39" s="22">
        <f>IF(OR(B39="",E39=""),"",COUNTIFS($B$8:B39,B39,$E$8:E39,"&lt;&gt;"))</f>
        <v/>
      </c>
      <c r="G39" s="21">
        <f>IF(F39="","",IFERROR(INDEX(Materias!$M$8:$M$15,MATCH(B39,Materias!$B$8:$B$15,0)),""))</f>
        <v/>
      </c>
      <c r="H39" s="31">
        <f>IF(OR(F39="",G39=""),"",ROUND(E39-G39,2))</f>
        <v/>
      </c>
      <c r="I39" s="31">
        <f>IF(F39="","",IF(F39&lt;2,"",ROUND(E39-SUMIFS($E$8:$E$47,$B$8:$B$47,B39,$F$8:$F$47,F39-1),2)))</f>
        <v/>
      </c>
      <c r="J39" s="20">
        <f>IF(H39="","",IF(H39&gt;=0,"En objetivo",IF(H39&gt;=-Materias!$K$5,"Cerca","Reforzar")))</f>
        <v/>
      </c>
      <c r="K39" s="28" t="n"/>
    </row>
    <row r="40">
      <c r="B40" s="28" t="n"/>
      <c r="C40" s="28" t="n"/>
      <c r="D40" s="24" t="n"/>
      <c r="E40" s="27" t="n"/>
      <c r="F40" s="22">
        <f>IF(OR(B40="",E40=""),"",COUNTIFS($B$8:B40,B40,$E$8:E40,"&lt;&gt;"))</f>
        <v/>
      </c>
      <c r="G40" s="21">
        <f>IF(F40="","",IFERROR(INDEX(Materias!$M$8:$M$15,MATCH(B40,Materias!$B$8:$B$15,0)),""))</f>
        <v/>
      </c>
      <c r="H40" s="31">
        <f>IF(OR(F40="",G40=""),"",ROUND(E40-G40,2))</f>
        <v/>
      </c>
      <c r="I40" s="31">
        <f>IF(F40="","",IF(F40&lt;2,"",ROUND(E40-SUMIFS($E$8:$E$47,$B$8:$B$47,B40,$F$8:$F$47,F40-1),2)))</f>
        <v/>
      </c>
      <c r="J40" s="20">
        <f>IF(H40="","",IF(H40&gt;=0,"En objetivo",IF(H40&gt;=-Materias!$K$5,"Cerca","Reforzar")))</f>
        <v/>
      </c>
      <c r="K40" s="28" t="n"/>
    </row>
    <row r="41">
      <c r="B41" s="28" t="n"/>
      <c r="C41" s="28" t="n"/>
      <c r="D41" s="24" t="n"/>
      <c r="E41" s="27" t="n"/>
      <c r="F41" s="22">
        <f>IF(OR(B41="",E41=""),"",COUNTIFS($B$8:B41,B41,$E$8:E41,"&lt;&gt;"))</f>
        <v/>
      </c>
      <c r="G41" s="21">
        <f>IF(F41="","",IFERROR(INDEX(Materias!$M$8:$M$15,MATCH(B41,Materias!$B$8:$B$15,0)),""))</f>
        <v/>
      </c>
      <c r="H41" s="31">
        <f>IF(OR(F41="",G41=""),"",ROUND(E41-G41,2))</f>
        <v/>
      </c>
      <c r="I41" s="31">
        <f>IF(F41="","",IF(F41&lt;2,"",ROUND(E41-SUMIFS($E$8:$E$47,$B$8:$B$47,B41,$F$8:$F$47,F41-1),2)))</f>
        <v/>
      </c>
      <c r="J41" s="20">
        <f>IF(H41="","",IF(H41&gt;=0,"En objetivo",IF(H41&gt;=-Materias!$K$5,"Cerca","Reforzar")))</f>
        <v/>
      </c>
      <c r="K41" s="28" t="n"/>
    </row>
    <row r="42">
      <c r="B42" s="28" t="n"/>
      <c r="C42" s="28" t="n"/>
      <c r="D42" s="24" t="n"/>
      <c r="E42" s="27" t="n"/>
      <c r="F42" s="22">
        <f>IF(OR(B42="",E42=""),"",COUNTIFS($B$8:B42,B42,$E$8:E42,"&lt;&gt;"))</f>
        <v/>
      </c>
      <c r="G42" s="21">
        <f>IF(F42="","",IFERROR(INDEX(Materias!$M$8:$M$15,MATCH(B42,Materias!$B$8:$B$15,0)),""))</f>
        <v/>
      </c>
      <c r="H42" s="31">
        <f>IF(OR(F42="",G42=""),"",ROUND(E42-G42,2))</f>
        <v/>
      </c>
      <c r="I42" s="31">
        <f>IF(F42="","",IF(F42&lt;2,"",ROUND(E42-SUMIFS($E$8:$E$47,$B$8:$B$47,B42,$F$8:$F$47,F42-1),2)))</f>
        <v/>
      </c>
      <c r="J42" s="20">
        <f>IF(H42="","",IF(H42&gt;=0,"En objetivo",IF(H42&gt;=-Materias!$K$5,"Cerca","Reforzar")))</f>
        <v/>
      </c>
      <c r="K42" s="28" t="n"/>
    </row>
    <row r="43">
      <c r="B43" s="28" t="n"/>
      <c r="C43" s="28" t="n"/>
      <c r="D43" s="24" t="n"/>
      <c r="E43" s="27" t="n"/>
      <c r="F43" s="22">
        <f>IF(OR(B43="",E43=""),"",COUNTIFS($B$8:B43,B43,$E$8:E43,"&lt;&gt;"))</f>
        <v/>
      </c>
      <c r="G43" s="21">
        <f>IF(F43="","",IFERROR(INDEX(Materias!$M$8:$M$15,MATCH(B43,Materias!$B$8:$B$15,0)),""))</f>
        <v/>
      </c>
      <c r="H43" s="31">
        <f>IF(OR(F43="",G43=""),"",ROUND(E43-G43,2))</f>
        <v/>
      </c>
      <c r="I43" s="31">
        <f>IF(F43="","",IF(F43&lt;2,"",ROUND(E43-SUMIFS($E$8:$E$47,$B$8:$B$47,B43,$F$8:$F$47,F43-1),2)))</f>
        <v/>
      </c>
      <c r="J43" s="20">
        <f>IF(H43="","",IF(H43&gt;=0,"En objetivo",IF(H43&gt;=-Materias!$K$5,"Cerca","Reforzar")))</f>
        <v/>
      </c>
      <c r="K43" s="28" t="n"/>
    </row>
    <row r="44">
      <c r="B44" s="28" t="n"/>
      <c r="C44" s="28" t="n"/>
      <c r="D44" s="24" t="n"/>
      <c r="E44" s="27" t="n"/>
      <c r="F44" s="22">
        <f>IF(OR(B44="",E44=""),"",COUNTIFS($B$8:B44,B44,$E$8:E44,"&lt;&gt;"))</f>
        <v/>
      </c>
      <c r="G44" s="21">
        <f>IF(F44="","",IFERROR(INDEX(Materias!$M$8:$M$15,MATCH(B44,Materias!$B$8:$B$15,0)),""))</f>
        <v/>
      </c>
      <c r="H44" s="31">
        <f>IF(OR(F44="",G44=""),"",ROUND(E44-G44,2))</f>
        <v/>
      </c>
      <c r="I44" s="31">
        <f>IF(F44="","",IF(F44&lt;2,"",ROUND(E44-SUMIFS($E$8:$E$47,$B$8:$B$47,B44,$F$8:$F$47,F44-1),2)))</f>
        <v/>
      </c>
      <c r="J44" s="20">
        <f>IF(H44="","",IF(H44&gt;=0,"En objetivo",IF(H44&gt;=-Materias!$K$5,"Cerca","Reforzar")))</f>
        <v/>
      </c>
      <c r="K44" s="28" t="n"/>
    </row>
    <row r="45">
      <c r="B45" s="28" t="n"/>
      <c r="C45" s="28" t="n"/>
      <c r="D45" s="24" t="n"/>
      <c r="E45" s="27" t="n"/>
      <c r="F45" s="22">
        <f>IF(OR(B45="",E45=""),"",COUNTIFS($B$8:B45,B45,$E$8:E45,"&lt;&gt;"))</f>
        <v/>
      </c>
      <c r="G45" s="21">
        <f>IF(F45="","",IFERROR(INDEX(Materias!$M$8:$M$15,MATCH(B45,Materias!$B$8:$B$15,0)),""))</f>
        <v/>
      </c>
      <c r="H45" s="31">
        <f>IF(OR(F45="",G45=""),"",ROUND(E45-G45,2))</f>
        <v/>
      </c>
      <c r="I45" s="31">
        <f>IF(F45="","",IF(F45&lt;2,"",ROUND(E45-SUMIFS($E$8:$E$47,$B$8:$B$47,B45,$F$8:$F$47,F45-1),2)))</f>
        <v/>
      </c>
      <c r="J45" s="20">
        <f>IF(H45="","",IF(H45&gt;=0,"En objetivo",IF(H45&gt;=-Materias!$K$5,"Cerca","Reforzar")))</f>
        <v/>
      </c>
      <c r="K45" s="28" t="n"/>
    </row>
    <row r="46">
      <c r="B46" s="28" t="n"/>
      <c r="C46" s="28" t="n"/>
      <c r="D46" s="24" t="n"/>
      <c r="E46" s="27" t="n"/>
      <c r="F46" s="22">
        <f>IF(OR(B46="",E46=""),"",COUNTIFS($B$8:B46,B46,$E$8:E46,"&lt;&gt;"))</f>
        <v/>
      </c>
      <c r="G46" s="21">
        <f>IF(F46="","",IFERROR(INDEX(Materias!$M$8:$M$15,MATCH(B46,Materias!$B$8:$B$15,0)),""))</f>
        <v/>
      </c>
      <c r="H46" s="31">
        <f>IF(OR(F46="",G46=""),"",ROUND(E46-G46,2))</f>
        <v/>
      </c>
      <c r="I46" s="31">
        <f>IF(F46="","",IF(F46&lt;2,"",ROUND(E46-SUMIFS($E$8:$E$47,$B$8:$B$47,B46,$F$8:$F$47,F46-1),2)))</f>
        <v/>
      </c>
      <c r="J46" s="20">
        <f>IF(H46="","",IF(H46&gt;=0,"En objetivo",IF(H46&gt;=-Materias!$K$5,"Cerca","Reforzar")))</f>
        <v/>
      </c>
      <c r="K46" s="28" t="n"/>
    </row>
    <row r="47">
      <c r="B47" s="28" t="n"/>
      <c r="C47" s="28" t="n"/>
      <c r="D47" s="24" t="n"/>
      <c r="E47" s="27" t="n"/>
      <c r="F47" s="22">
        <f>IF(OR(B47="",E47=""),"",COUNTIFS($B$8:B47,B47,$E$8:E47,"&lt;&gt;"))</f>
        <v/>
      </c>
      <c r="G47" s="21">
        <f>IF(F47="","",IFERROR(INDEX(Materias!$M$8:$M$15,MATCH(B47,Materias!$B$8:$B$15,0)),""))</f>
        <v/>
      </c>
      <c r="H47" s="31">
        <f>IF(OR(F47="",G47=""),"",ROUND(E47-G47,2))</f>
        <v/>
      </c>
      <c r="I47" s="31">
        <f>IF(F47="","",IF(F47&lt;2,"",ROUND(E47-SUMIFS($E$8:$E$47,$B$8:$B$47,B47,$F$8:$F$47,F47-1),2)))</f>
        <v/>
      </c>
      <c r="J47" s="20">
        <f>IF(H47="","",IF(H47&gt;=0,"En objetivo",IF(H47&gt;=-Materias!$K$5,"Cerca","Reforzar")))</f>
        <v/>
      </c>
      <c r="K47" s="28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J8:J47">
    <cfRule type="cellIs" priority="1" operator="equal" dxfId="0">
      <formula>"En objetivo"</formula>
    </cfRule>
    <cfRule type="cellIs" priority="2" operator="equal" dxfId="1">
      <formula>"Cerca"</formula>
    </cfRule>
    <cfRule type="cellIs" priority="3" operator="equal" dxfId="2">
      <formula>"Reforzar"</formula>
    </cfRule>
  </conditionalFormatting>
  <conditionalFormatting sqref="I8:I47">
    <cfRule type="expression" priority="4" dxfId="2">
      <formula>AND(ISNUMBER($I8),$I8&lt;0)</formula>
    </cfRule>
    <cfRule type="expression" priority="5" dxfId="0">
      <formula>AND(ISNUMBER($I8),$I8&gt;0)</formula>
    </cfRule>
  </conditionalFormatting>
  <conditionalFormatting sqref="E8:E47">
    <cfRule type="dataBar" priority="6">
      <dataBar>
        <cfvo type="num" val="0"/>
        <cfvo type="max"/>
        <color rgb="0010B981"/>
      </dataBar>
    </cfRule>
  </conditionalFormatting>
  <dataValidations count="2">
    <dataValidation sqref="B8:B47" showDropDown="0" showInputMessage="0" showErrorMessage="0" allowBlank="1" type="list">
      <formula1>=Materias!$B$8:$B$15</formula1>
    </dataValidation>
    <dataValidation sqref="E8:E47" showDropDown="0" showInputMessage="0" showErrorMessage="1" allowBlank="1" errorTitle="Nota" error="Introduce una nota entre 0 y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 de estudio PAU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41" t="inlineStr">
        <is>
          <t>1.  En «Materias» escribe la fecha de la prueba (celda C5) y tus materias en la columna B (hasta 8): elige si son de fase general o voluntaria.</t>
        </is>
      </c>
    </row>
    <row r="7" ht="30" customHeight="1">
      <c r="B7" s="41" t="inlineStr">
        <is>
          <t>2.  Fija para cada materia las horas semanales objetivo (columna D) y la nota que quieres sacar (columna M). Son tus metas, no cifras oficiales.</t>
        </is>
      </c>
    </row>
    <row r="8" ht="30" customHeight="1">
      <c r="B8" s="41" t="inlineStr">
        <is>
          <t>3.  En «Horario» reparte las horas de tu semana tipo en la primera tabla (lunes a domingo). La columna Estado te avisa si no llegas a las horas objetivo.</t>
        </is>
      </c>
    </row>
    <row r="9" ht="30" customHeight="1">
      <c r="B9" s="41" t="inlineStr">
        <is>
          <t>4.  Cada día apunta en la segunda tabla de «Horario» las horas que has estudiado de verdad. Al empezar la semana siguiente, pon esas casillas a cero.</t>
        </is>
      </c>
    </row>
    <row r="10" ht="30" customHeight="1">
      <c r="B10" s="41" t="inlineStr">
        <is>
          <t>5.  En «Simulacros» añade cada examen de convocatorias anteriores que hagas: materia, examen, fecha y nota (0-10) corregida con los criterios oficiales.</t>
        </is>
      </c>
    </row>
    <row r="11" ht="30" customHeight="1">
      <c r="B11" s="41" t="inlineStr">
        <is>
          <t>6.  Revisa en «Simulacros» la columna «Cambio vs. anterior» y «Temas a reforzar»: te dicen si mejoras y qué repasar antes del siguiente intento.</t>
        </is>
      </c>
    </row>
    <row r="12" ht="30" customHeight="1">
      <c r="B12" s="41" t="inlineStr">
        <is>
          <t>7.  Mira el «Panel»: cuenta atrás, cumplimiento semanal, nota media de simulacros, gráficos de evolución y situación de cada materia.</t>
        </is>
      </c>
    </row>
    <row r="13" ht="30" customHeight="1">
      <c r="B13" s="41" t="inlineStr">
        <is>
          <t>8.  Para la nota de acceso estimada, escribe tu media de Bachillerato (C12) y los pesos (C13) que apliquen en tu comunidad y universidad.</t>
        </is>
      </c>
    </row>
    <row r="15">
      <c r="B15" s="11" t="inlineStr">
        <is>
          <t>CONSEJOS</t>
        </is>
      </c>
    </row>
    <row r="16" ht="30" customHeight="1">
      <c r="B16" s="41" t="inlineStr">
        <is>
          <t>•  La cuenta atrás usa la función TODAY: los días y semanas que faltan se actualizan solos cada vez que abres el archivo.</t>
        </is>
      </c>
    </row>
    <row r="17" ht="30" customHeight="1">
      <c r="B17" s="41" t="inlineStr">
        <is>
          <t>•  Los datos de ejemplo (materias, notas y fechas) son ficticios; bórralos y escribe los tuyos. Las filas libres ya tienen sus fórmulas.</t>
        </is>
      </c>
    </row>
    <row r="18" ht="30" customHeight="1">
      <c r="B18" s="41" t="inlineStr">
        <is>
          <t>•  El margen «Cerca» (celda K5 de «Materias») define cuántos puntos por debajo del objetivo se considera «Cerca» antes de pasar a «Reforzar».</t>
        </is>
      </c>
    </row>
    <row r="19" ht="30" customHeight="1">
      <c r="B19" s="41" t="inlineStr">
        <is>
          <t>•  Las hojas están protegidas sin contraseña: Revisar &gt; Desproteger hoja si quieres modificar fórmulas o ampliar filas.</t>
        </is>
      </c>
    </row>
    <row r="21">
      <c r="B21" s="14" t="inlineStr">
        <is>
          <t>Las celdas con fondo crema y texto azul son para rellenar; las verdes se calculan solas.</t>
        </is>
      </c>
    </row>
    <row r="23" ht="44" customHeight="1">
      <c r="B23" s="42" t="inlineStr">
        <is>
          <t>Aviso: los pesos, fechas y la nota de acceso estimada son parámetros orientativos que tú introduces; la normativa de la PAU y de la admisión cambia según el año, la comunidad y la universidad. Consulta siempre las fuentes oficiales. La plantilla solo organiza tu estudio y no garantiza resultados.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Fase</t>
        </is>
      </c>
    </row>
    <row r="2">
      <c r="A2" t="inlineStr">
        <is>
          <t>General</t>
        </is>
      </c>
    </row>
    <row r="3">
      <c r="A3" t="inlineStr">
        <is>
          <t>Voluntaria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2026-10-02T13:04:30Z</dcterms:created>
  <dcterms:modified xmlns:dcterms="http://purl.org/dc/terms/" xmlns:xsi="http://www.w3.org/2001/XMLSchema-instance" xsi:type="dcterms:W3CDTF">2026-10-02T13:04:30Z</dcterms:modified>
</cp:coreProperties>
</file>