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utas" sheetId="2" state="visible" r:id="rId2"/>
    <sheet xmlns:r="http://schemas.openxmlformats.org/officeDocument/2006/relationships" name="Realizadas" sheetId="3" state="visible" r:id="rId3"/>
    <sheet xmlns:r="http://schemas.openxmlformats.org/officeDocument/2006/relationships" name="Material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[h]:mm"/>
    <numFmt numFmtId="166" formatCode="yyyy-mm-dd"/>
    <numFmt numFmtId="167" formatCode="dd/mm/yyyy"/>
    <numFmt numFmtId="168" formatCode="hh:mm"/>
    <numFmt numFmtId="169" formatCode="+0;-0;0"/>
    <numFmt numFmtId="170" formatCode="#,##0.0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b val="1"/>
      <color rgb="0012744A"/>
      <sz val="9"/>
    </font>
    <font>
      <name val="Arial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047857"/>
      <sz val="10"/>
    </font>
    <font>
      <name val="Arial"/>
      <color rgb="00111827"/>
      <sz val="10"/>
    </font>
    <font>
      <name val="Arial"/>
      <b val="1"/>
      <color rgb="0012744A"/>
      <sz val="11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5" fillId="0" borderId="0" applyAlignment="1" pivotButton="0" quotePrefix="0" xfId="0">
      <alignment vertical="center"/>
    </xf>
    <xf numFmtId="1" fontId="4" fillId="4" borderId="1" applyAlignment="1" applyProtection="1" pivotButton="0" quotePrefix="0" xfId="0">
      <alignment horizontal="center" vertical="center"/>
      <protection locked="0" hidden="0"/>
    </xf>
    <xf numFmtId="0" fontId="9" fillId="6" borderId="0" applyAlignment="1" pivotButton="0" quotePrefix="0" xfId="0">
      <alignment horizontal="center" vertical="center" wrapText="1"/>
    </xf>
    <xf numFmtId="3" fontId="10" fillId="6" borderId="0" applyAlignment="1" pivotButton="0" quotePrefix="0" xfId="0">
      <alignment horizontal="center" vertical="center"/>
    </xf>
    <xf numFmtId="170" fontId="10" fillId="6" borderId="0" applyAlignment="1" pivotButton="0" quotePrefix="0" xfId="0">
      <alignment horizontal="center" vertical="center"/>
    </xf>
    <xf numFmtId="164" fontId="10" fillId="6" borderId="0" applyAlignment="1" pivotButton="0" quotePrefix="0" xfId="0">
      <alignment horizontal="center" vertical="center"/>
    </xf>
    <xf numFmtId="167" fontId="10" fillId="6" borderId="0" applyAlignment="1" pivotButton="0" quotePrefix="0" xfId="0">
      <alignment horizontal="center" vertical="center"/>
    </xf>
    <xf numFmtId="0" fontId="11" fillId="0" borderId="1" applyAlignment="1" pivotButton="0" quotePrefix="0" xfId="0">
      <alignment vertical="center"/>
    </xf>
    <xf numFmtId="0" fontId="12" fillId="0" borderId="0" applyAlignment="1" pivotButton="0" quotePrefix="0" xfId="0">
      <alignment horizontal="right" vertical="center"/>
    </xf>
    <xf numFmtId="1" fontId="11" fillId="0" borderId="1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vertical="center"/>
    </xf>
    <xf numFmtId="3" fontId="8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vertical="center"/>
    </xf>
    <xf numFmtId="164" fontId="8" fillId="0" borderId="1" applyAlignment="1" pivotButton="0" quotePrefix="0" xfId="0">
      <alignment horizontal="center" vertical="center"/>
    </xf>
    <xf numFmtId="3" fontId="6" fillId="5" borderId="1" applyAlignment="1" pivotButton="0" quotePrefix="0" xfId="0">
      <alignment vertical="center"/>
    </xf>
    <xf numFmtId="164" fontId="6" fillId="5" borderId="1" applyAlignment="1" pivotButton="0" quotePrefix="0" xfId="0">
      <alignment vertical="center"/>
    </xf>
    <xf numFmtId="3" fontId="8" fillId="0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right" vertical="center" wrapText="1"/>
    </xf>
    <xf numFmtId="164" fontId="4" fillId="4" borderId="1" applyAlignment="1" applyProtection="1" pivotButton="0" quotePrefix="0" xfId="0">
      <alignment horizontal="center" vertical="center"/>
      <protection locked="0" hidden="0"/>
    </xf>
    <xf numFmtId="3" fontId="4" fillId="4" borderId="1" applyAlignment="1" applyProtection="1" pivotButton="0" quotePrefix="0" xfId="0">
      <alignment horizontal="center" vertical="center"/>
      <protection locked="0" hidden="0"/>
    </xf>
    <xf numFmtId="9" fontId="4" fillId="4" borderId="1" applyAlignment="1" applyProtection="1" pivotButton="0" quotePrefix="0" xfId="0">
      <alignment horizontal="center" vertical="center"/>
      <protection locked="0" hidden="0"/>
    </xf>
    <xf numFmtId="0" fontId="4" fillId="4" borderId="1" applyAlignment="1" applyProtection="1" pivotButton="0" quotePrefix="0" xfId="0">
      <alignment vertical="center"/>
      <protection locked="0" hidden="0"/>
    </xf>
    <xf numFmtId="0" fontId="4" fillId="4" borderId="1" applyAlignment="1" applyProtection="1" pivotButton="0" quotePrefix="0" xfId="0">
      <alignment horizontal="center" vertical="center"/>
      <protection locked="0" hidden="0"/>
    </xf>
    <xf numFmtId="164" fontId="4" fillId="4" borderId="1" applyAlignment="1" applyProtection="1" pivotButton="0" quotePrefix="0" xfId="0">
      <alignment horizontal="right" vertical="center"/>
      <protection locked="0" hidden="0"/>
    </xf>
    <xf numFmtId="3" fontId="4" fillId="4" borderId="1" applyAlignment="1" applyProtection="1" pivotButton="0" quotePrefix="0" xfId="0">
      <alignment horizontal="right" vertical="center"/>
      <protection locked="0" hidden="0"/>
    </xf>
    <xf numFmtId="165" fontId="8" fillId="0" borderId="1" applyAlignment="1" pivotButton="0" quotePrefix="0" xfId="0">
      <alignment horizontal="center" vertical="center"/>
    </xf>
    <xf numFmtId="167" fontId="4" fillId="4" borderId="1" applyAlignment="1" applyProtection="1" pivotButton="0" quotePrefix="0" xfId="0">
      <alignment horizontal="center" vertical="center"/>
      <protection locked="0" hidden="0"/>
    </xf>
    <xf numFmtId="168" fontId="4" fillId="4" borderId="1" applyAlignment="1" applyProtection="1" pivotButton="0" quotePrefix="0" xfId="0">
      <alignment horizontal="center" vertical="center"/>
      <protection locked="0" hidden="0"/>
    </xf>
    <xf numFmtId="168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1" fontId="8" fillId="0" borderId="1" applyAlignment="1" pivotButton="0" quotePrefix="0" xfId="0">
      <alignment horizontal="center" vertical="center"/>
    </xf>
    <xf numFmtId="165" fontId="6" fillId="5" borderId="1" applyAlignment="1" pivotButton="0" quotePrefix="0" xfId="0">
      <alignment vertical="center"/>
    </xf>
    <xf numFmtId="165" fontId="4" fillId="4" borderId="1" applyAlignment="1" applyProtection="1" pivotButton="0" quotePrefix="0" xfId="0">
      <alignment horizontal="center" vertical="center"/>
      <protection locked="0" hidden="0"/>
    </xf>
    <xf numFmtId="169" fontId="8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ill>
        <patternFill patternType="solid">
          <fgColor rgb="00F4FAF6"/>
          <bgColor rgb="00F4FA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Kilómetros caminados por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'Resumen'!D24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'Resumen'!$B$25:$B$36</f>
            </numRef>
          </cat>
          <val>
            <numRef>
              <f>'Resumen'!$D$25:$D$36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Km hechos por dificultad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'Resumen'!E16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'Resumen'!$B$17:$B$20</f>
            </numRef>
          </cat>
          <val>
            <numRef>
              <f>'Resumen'!$E$17:$E$20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4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22</row>
      <rowOff>0</rowOff>
    </from>
    <ext cx="61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H3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3" customWidth="1" min="3" max="3"/>
    <col width="13" customWidth="1" min="4" max="4"/>
    <col width="13" customWidth="1" min="5" max="5"/>
    <col width="14" customWidth="1" min="6" max="6"/>
    <col width="14" customWidth="1" min="7" max="7"/>
    <col width="13" customWidth="1" min="8" max="8"/>
  </cols>
  <sheetData>
    <row r="2" ht="34" customHeight="1">
      <c r="B2" s="1" t="inlineStr">
        <is>
          <t>Resumen de tu temporada de senderismo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Lo que has caminado en el año, por dificultad y por mes, y tu próxima salida</t>
        </is>
      </c>
    </row>
    <row r="5">
      <c r="B5" s="4" t="inlineStr">
        <is>
          <t>Año a analizar</t>
        </is>
      </c>
      <c r="C5" s="5" t="n">
        <v>2026</v>
      </c>
    </row>
    <row r="7" ht="22" customHeight="1">
      <c r="B7" s="6" t="inlineStr">
        <is>
          <t>RUTAS REALIZADAS</t>
        </is>
      </c>
      <c r="D7" s="6" t="inlineStr">
        <is>
          <t>KM CAMINADOS</t>
        </is>
      </c>
      <c r="F7" s="6" t="inlineStr">
        <is>
          <t>DESNIVEL ACUMULADO (m)</t>
        </is>
      </c>
    </row>
    <row r="8" ht="32" customHeight="1">
      <c r="B8" s="7">
        <f>COUNTIFS(Realizadas!$B$8:$B$47,"&gt;="&amp;DATE($C$5,1,1),Realizadas!$B$8:$B$47,"&lt;="&amp;DATE($C$5,12,31))</f>
        <v/>
      </c>
      <c r="D8" s="8">
        <f>SUMIFS(Realizadas!$E$8:$E$47,Realizadas!$B$8:$B$47,"&gt;="&amp;DATE($C$5,1,1),Realizadas!$B$8:$B$47,"&lt;="&amp;DATE($C$5,12,31))</f>
        <v/>
      </c>
      <c r="F8" s="7">
        <f>SUMIFS(Realizadas!$F$8:$F$47,Realizadas!$B$8:$B$47,"&gt;="&amp;DATE($C$5,1,1),Realizadas!$B$8:$B$47,"&lt;="&amp;DATE($C$5,12,31))</f>
        <v/>
      </c>
    </row>
    <row r="10" ht="22" customHeight="1">
      <c r="B10" s="6" t="inlineStr">
        <is>
          <t>HORAS EN MARCHA</t>
        </is>
      </c>
      <c r="D10" s="6" t="inlineStr">
        <is>
          <t>VALORACIÓN MEDIA</t>
        </is>
      </c>
      <c r="F10" s="6" t="inlineStr">
        <is>
          <t>PRÓXIMA SALIDA</t>
        </is>
      </c>
    </row>
    <row r="11" ht="32" customHeight="1">
      <c r="B11" s="9">
        <f>SUMIFS(Realizadas!$H$8:$H$47,Realizadas!$B$8:$B$47,"&gt;="&amp;DATE($C$5,1,1),Realizadas!$B$8:$B$47,"&lt;="&amp;DATE($C$5,12,31))*24</f>
        <v/>
      </c>
      <c r="D11" s="9">
        <f>IF(COUNTIFS(Realizadas!$B$8:$B$47,"&gt;="&amp;DATE($C$5,1,1),Realizadas!$B$8:$B$47,"&lt;="&amp;DATE($C$5,12,31),Realizadas!$M$8:$M$47,"&gt;0")=0,0,SUMIFS(Realizadas!$M$8:$M$47,Realizadas!$B$8:$B$47,"&gt;="&amp;DATE($C$5,1,1),Realizadas!$B$8:$B$47,"&lt;="&amp;DATE($C$5,12,31))/COUNTIFS(Realizadas!$B$8:$B$47,"&gt;="&amp;DATE($C$5,1,1),Realizadas!$B$8:$B$47,"&lt;="&amp;DATE($C$5,12,31),Realizadas!$M$8:$M$47,"&gt;0"))</f>
        <v/>
      </c>
      <c r="F11" s="10">
        <f>IF(G13="","—",TODAY()+G13)</f>
        <v/>
      </c>
    </row>
    <row r="13">
      <c r="B13" s="4" t="inlineStr">
        <is>
          <t>Próxima ruta</t>
        </is>
      </c>
      <c r="C13" s="11">
        <f>IF(G13="","Sin rutas planificadas",INDEX(Rutas!$B$8:$B$47,MATCH(G13,Rutas!$P$8:$P$47,0)))</f>
        <v/>
      </c>
      <c r="F13" s="12" t="inlineStr">
        <is>
          <t>Faltan (días)</t>
        </is>
      </c>
      <c r="G13" s="13">
        <f>IF(COUNTIF(Rutas!$P$8:$P$47,"&gt;=0")=0,"",SMALL(Rutas!$P$8:$P$47,COUNTIF(Rutas!$P$8:$P$47,"&lt;0")+1))</f>
        <v/>
      </c>
    </row>
    <row r="15">
      <c r="B15" s="14" t="inlineStr">
        <is>
          <t>POR DIFICULTAD</t>
        </is>
      </c>
    </row>
    <row r="16" ht="32" customHeight="1">
      <c r="B16" s="15" t="inlineStr">
        <is>
          <t>Dificultad</t>
        </is>
      </c>
      <c r="C16" s="15" t="inlineStr">
        <is>
          <t>Rutas en el plan</t>
        </is>
      </c>
      <c r="D16" s="15" t="inlineStr">
        <is>
          <t>Salidas hechas</t>
        </is>
      </c>
      <c r="E16" s="15" t="inlineStr">
        <is>
          <t>Km hechos</t>
        </is>
      </c>
      <c r="F16" s="15" t="inlineStr">
        <is>
          <t>Material (nº)</t>
        </is>
      </c>
      <c r="G16" s="15" t="inlineStr">
        <is>
          <t>Mochila (kg)</t>
        </is>
      </c>
      <c r="H16" s="15" t="inlineStr">
        <is>
          <t>Me faltan</t>
        </is>
      </c>
    </row>
    <row r="17">
      <c r="B17" s="16" t="inlineStr">
        <is>
          <t>Fácil</t>
        </is>
      </c>
      <c r="C17" s="17">
        <f>COUNTIF(Rutas!$C$8:$C$47,B17)</f>
        <v/>
      </c>
      <c r="D17" s="17">
        <f>COUNTIFS(Realizadas!$D$8:$D$47,B17,Realizadas!$B$8:$B$47,"&gt;="&amp;DATE($C$5,1,1),Realizadas!$B$8:$B$47,"&lt;="&amp;DATE($C$5,12,31))</f>
        <v/>
      </c>
      <c r="E17" s="18">
        <f>SUMIFS(Realizadas!$E$8:$E$47,Realizadas!$D$8:$D$47,B17,Realizadas!$B$8:$B$47,"&gt;="&amp;DATE($C$5,1,1),Realizadas!$B$8:$B$47,"&lt;="&amp;DATE($C$5,12,31))</f>
        <v/>
      </c>
      <c r="F17" s="17">
        <f>INDEX(Material!$E$38:$H$38,MATCH(B17,Material!$E$7:$H$7,0))</f>
        <v/>
      </c>
      <c r="G17" s="19">
        <f>INDEX(Material!$E$39:$H$39,MATCH(B17,Material!$E$7:$H$7,0))</f>
        <v/>
      </c>
      <c r="H17" s="17">
        <f>INDEX(Material!$E$40:$H$40,MATCH(B17,Material!$E$7:$H$7,0))</f>
        <v/>
      </c>
    </row>
    <row r="18">
      <c r="B18" s="16" t="inlineStr">
        <is>
          <t>Moderada</t>
        </is>
      </c>
      <c r="C18" s="17">
        <f>COUNTIF(Rutas!$C$8:$C$47,B18)</f>
        <v/>
      </c>
      <c r="D18" s="17">
        <f>COUNTIFS(Realizadas!$D$8:$D$47,B18,Realizadas!$B$8:$B$47,"&gt;="&amp;DATE($C$5,1,1),Realizadas!$B$8:$B$47,"&lt;="&amp;DATE($C$5,12,31))</f>
        <v/>
      </c>
      <c r="E18" s="18">
        <f>SUMIFS(Realizadas!$E$8:$E$47,Realizadas!$D$8:$D$47,B18,Realizadas!$B$8:$B$47,"&gt;="&amp;DATE($C$5,1,1),Realizadas!$B$8:$B$47,"&lt;="&amp;DATE($C$5,12,31))</f>
        <v/>
      </c>
      <c r="F18" s="17">
        <f>INDEX(Material!$E$38:$H$38,MATCH(B18,Material!$E$7:$H$7,0))</f>
        <v/>
      </c>
      <c r="G18" s="19">
        <f>INDEX(Material!$E$39:$H$39,MATCH(B18,Material!$E$7:$H$7,0))</f>
        <v/>
      </c>
      <c r="H18" s="17">
        <f>INDEX(Material!$E$40:$H$40,MATCH(B18,Material!$E$7:$H$7,0))</f>
        <v/>
      </c>
    </row>
    <row r="19">
      <c r="B19" s="16" t="inlineStr">
        <is>
          <t>Difícil</t>
        </is>
      </c>
      <c r="C19" s="17">
        <f>COUNTIF(Rutas!$C$8:$C$47,B19)</f>
        <v/>
      </c>
      <c r="D19" s="17">
        <f>COUNTIFS(Realizadas!$D$8:$D$47,B19,Realizadas!$B$8:$B$47,"&gt;="&amp;DATE($C$5,1,1),Realizadas!$B$8:$B$47,"&lt;="&amp;DATE($C$5,12,31))</f>
        <v/>
      </c>
      <c r="E19" s="18">
        <f>SUMIFS(Realizadas!$E$8:$E$47,Realizadas!$D$8:$D$47,B19,Realizadas!$B$8:$B$47,"&gt;="&amp;DATE($C$5,1,1),Realizadas!$B$8:$B$47,"&lt;="&amp;DATE($C$5,12,31))</f>
        <v/>
      </c>
      <c r="F19" s="17">
        <f>INDEX(Material!$E$38:$H$38,MATCH(B19,Material!$E$7:$H$7,0))</f>
        <v/>
      </c>
      <c r="G19" s="19">
        <f>INDEX(Material!$E$39:$H$39,MATCH(B19,Material!$E$7:$H$7,0))</f>
        <v/>
      </c>
      <c r="H19" s="17">
        <f>INDEX(Material!$E$40:$H$40,MATCH(B19,Material!$E$7:$H$7,0))</f>
        <v/>
      </c>
    </row>
    <row r="20">
      <c r="B20" s="16" t="inlineStr">
        <is>
          <t>Muy difícil</t>
        </is>
      </c>
      <c r="C20" s="17">
        <f>COUNTIF(Rutas!$C$8:$C$47,B20)</f>
        <v/>
      </c>
      <c r="D20" s="17">
        <f>COUNTIFS(Realizadas!$D$8:$D$47,B20,Realizadas!$B$8:$B$47,"&gt;="&amp;DATE($C$5,1,1),Realizadas!$B$8:$B$47,"&lt;="&amp;DATE($C$5,12,31))</f>
        <v/>
      </c>
      <c r="E20" s="18">
        <f>SUMIFS(Realizadas!$E$8:$E$47,Realizadas!$D$8:$D$47,B20,Realizadas!$B$8:$B$47,"&gt;="&amp;DATE($C$5,1,1),Realizadas!$B$8:$B$47,"&lt;="&amp;DATE($C$5,12,31))</f>
        <v/>
      </c>
      <c r="F20" s="17">
        <f>INDEX(Material!$E$38:$H$38,MATCH(B20,Material!$E$7:$H$7,0))</f>
        <v/>
      </c>
      <c r="G20" s="19">
        <f>INDEX(Material!$E$39:$H$39,MATCH(B20,Material!$E$7:$H$7,0))</f>
        <v/>
      </c>
      <c r="H20" s="17">
        <f>INDEX(Material!$E$40:$H$40,MATCH(B20,Material!$E$7:$H$7,0))</f>
        <v/>
      </c>
    </row>
    <row r="21">
      <c r="B21" s="4" t="inlineStr">
        <is>
          <t>TOTAL</t>
        </is>
      </c>
      <c r="C21" s="20">
        <f>SUM(C17:C20)</f>
        <v/>
      </c>
      <c r="D21" s="20">
        <f>SUM(D17:D20)</f>
        <v/>
      </c>
      <c r="E21" s="21">
        <f>SUM(E17:E20)</f>
        <v/>
      </c>
    </row>
    <row r="23">
      <c r="B23" s="14" t="inlineStr">
        <is>
          <t>POR MES</t>
        </is>
      </c>
    </row>
    <row r="24" ht="30" customHeight="1">
      <c r="B24" s="15" t="inlineStr">
        <is>
          <t>Mes</t>
        </is>
      </c>
      <c r="C24" s="15" t="inlineStr">
        <is>
          <t>Salidas</t>
        </is>
      </c>
      <c r="D24" s="15" t="inlineStr">
        <is>
          <t>Km</t>
        </is>
      </c>
      <c r="E24" s="15" t="inlineStr">
        <is>
          <t>Desnivel + (m)</t>
        </is>
      </c>
      <c r="F24" s="15" t="inlineStr">
        <is>
          <t>Horas</t>
        </is>
      </c>
      <c r="G24" s="15" t="inlineStr">
        <is>
          <t>Km por salida</t>
        </is>
      </c>
    </row>
    <row r="25">
      <c r="B25" s="16" t="inlineStr">
        <is>
          <t>Enero</t>
        </is>
      </c>
      <c r="C25" s="17">
        <f>COUNTIFS(Realizadas!$B$8:$B$47,"&gt;="&amp;DATE($C$5,1,1),Realizadas!$B$8:$B$47,"&lt;"&amp;DATE($C$5,2,1))</f>
        <v/>
      </c>
      <c r="D25" s="18">
        <f>SUMIFS(Realizadas!$E$8:$E$47,Realizadas!$B$8:$B$47,"&gt;="&amp;DATE($C$5,1,1),Realizadas!$B$8:$B$47,"&lt;"&amp;DATE($C$5,2,1))</f>
        <v/>
      </c>
      <c r="E25" s="22">
        <f>SUMIFS(Realizadas!$F$8:$F$47,Realizadas!$B$8:$B$47,"&gt;="&amp;DATE($C$5,1,1),Realizadas!$B$8:$B$47,"&lt;"&amp;DATE($C$5,2,1))</f>
        <v/>
      </c>
      <c r="F25" s="18">
        <f>SUMIFS(Realizadas!$H$8:$H$47,Realizadas!$B$8:$B$47,"&gt;="&amp;DATE($C$5,1,1),Realizadas!$B$8:$B$47,"&lt;"&amp;DATE($C$5,2,1))*24</f>
        <v/>
      </c>
      <c r="G25" s="18">
        <f>IF(C25&gt;0,D25/C25,0)</f>
        <v/>
      </c>
    </row>
    <row r="26">
      <c r="B26" s="16" t="inlineStr">
        <is>
          <t>Febrero</t>
        </is>
      </c>
      <c r="C26" s="17">
        <f>COUNTIFS(Realizadas!$B$8:$B$47,"&gt;="&amp;DATE($C$5,2,1),Realizadas!$B$8:$B$47,"&lt;"&amp;DATE($C$5,3,1))</f>
        <v/>
      </c>
      <c r="D26" s="18">
        <f>SUMIFS(Realizadas!$E$8:$E$47,Realizadas!$B$8:$B$47,"&gt;="&amp;DATE($C$5,2,1),Realizadas!$B$8:$B$47,"&lt;"&amp;DATE($C$5,3,1))</f>
        <v/>
      </c>
      <c r="E26" s="22">
        <f>SUMIFS(Realizadas!$F$8:$F$47,Realizadas!$B$8:$B$47,"&gt;="&amp;DATE($C$5,2,1),Realizadas!$B$8:$B$47,"&lt;"&amp;DATE($C$5,3,1))</f>
        <v/>
      </c>
      <c r="F26" s="18">
        <f>SUMIFS(Realizadas!$H$8:$H$47,Realizadas!$B$8:$B$47,"&gt;="&amp;DATE($C$5,2,1),Realizadas!$B$8:$B$47,"&lt;"&amp;DATE($C$5,3,1))*24</f>
        <v/>
      </c>
      <c r="G26" s="18">
        <f>IF(C26&gt;0,D26/C26,0)</f>
        <v/>
      </c>
    </row>
    <row r="27">
      <c r="B27" s="16" t="inlineStr">
        <is>
          <t>Marzo</t>
        </is>
      </c>
      <c r="C27" s="17">
        <f>COUNTIFS(Realizadas!$B$8:$B$47,"&gt;="&amp;DATE($C$5,3,1),Realizadas!$B$8:$B$47,"&lt;"&amp;DATE($C$5,4,1))</f>
        <v/>
      </c>
      <c r="D27" s="18">
        <f>SUMIFS(Realizadas!$E$8:$E$47,Realizadas!$B$8:$B$47,"&gt;="&amp;DATE($C$5,3,1),Realizadas!$B$8:$B$47,"&lt;"&amp;DATE($C$5,4,1))</f>
        <v/>
      </c>
      <c r="E27" s="22">
        <f>SUMIFS(Realizadas!$F$8:$F$47,Realizadas!$B$8:$B$47,"&gt;="&amp;DATE($C$5,3,1),Realizadas!$B$8:$B$47,"&lt;"&amp;DATE($C$5,4,1))</f>
        <v/>
      </c>
      <c r="F27" s="18">
        <f>SUMIFS(Realizadas!$H$8:$H$47,Realizadas!$B$8:$B$47,"&gt;="&amp;DATE($C$5,3,1),Realizadas!$B$8:$B$47,"&lt;"&amp;DATE($C$5,4,1))*24</f>
        <v/>
      </c>
      <c r="G27" s="18">
        <f>IF(C27&gt;0,D27/C27,0)</f>
        <v/>
      </c>
    </row>
    <row r="28">
      <c r="B28" s="16" t="inlineStr">
        <is>
          <t>Abril</t>
        </is>
      </c>
      <c r="C28" s="17">
        <f>COUNTIFS(Realizadas!$B$8:$B$47,"&gt;="&amp;DATE($C$5,4,1),Realizadas!$B$8:$B$47,"&lt;"&amp;DATE($C$5,5,1))</f>
        <v/>
      </c>
      <c r="D28" s="18">
        <f>SUMIFS(Realizadas!$E$8:$E$47,Realizadas!$B$8:$B$47,"&gt;="&amp;DATE($C$5,4,1),Realizadas!$B$8:$B$47,"&lt;"&amp;DATE($C$5,5,1))</f>
        <v/>
      </c>
      <c r="E28" s="22">
        <f>SUMIFS(Realizadas!$F$8:$F$47,Realizadas!$B$8:$B$47,"&gt;="&amp;DATE($C$5,4,1),Realizadas!$B$8:$B$47,"&lt;"&amp;DATE($C$5,5,1))</f>
        <v/>
      </c>
      <c r="F28" s="18">
        <f>SUMIFS(Realizadas!$H$8:$H$47,Realizadas!$B$8:$B$47,"&gt;="&amp;DATE($C$5,4,1),Realizadas!$B$8:$B$47,"&lt;"&amp;DATE($C$5,5,1))*24</f>
        <v/>
      </c>
      <c r="G28" s="18">
        <f>IF(C28&gt;0,D28/C28,0)</f>
        <v/>
      </c>
    </row>
    <row r="29">
      <c r="B29" s="16" t="inlineStr">
        <is>
          <t>Mayo</t>
        </is>
      </c>
      <c r="C29" s="17">
        <f>COUNTIFS(Realizadas!$B$8:$B$47,"&gt;="&amp;DATE($C$5,5,1),Realizadas!$B$8:$B$47,"&lt;"&amp;DATE($C$5,6,1))</f>
        <v/>
      </c>
      <c r="D29" s="18">
        <f>SUMIFS(Realizadas!$E$8:$E$47,Realizadas!$B$8:$B$47,"&gt;="&amp;DATE($C$5,5,1),Realizadas!$B$8:$B$47,"&lt;"&amp;DATE($C$5,6,1))</f>
        <v/>
      </c>
      <c r="E29" s="22">
        <f>SUMIFS(Realizadas!$F$8:$F$47,Realizadas!$B$8:$B$47,"&gt;="&amp;DATE($C$5,5,1),Realizadas!$B$8:$B$47,"&lt;"&amp;DATE($C$5,6,1))</f>
        <v/>
      </c>
      <c r="F29" s="18">
        <f>SUMIFS(Realizadas!$H$8:$H$47,Realizadas!$B$8:$B$47,"&gt;="&amp;DATE($C$5,5,1),Realizadas!$B$8:$B$47,"&lt;"&amp;DATE($C$5,6,1))*24</f>
        <v/>
      </c>
      <c r="G29" s="18">
        <f>IF(C29&gt;0,D29/C29,0)</f>
        <v/>
      </c>
    </row>
    <row r="30">
      <c r="B30" s="16" t="inlineStr">
        <is>
          <t>Junio</t>
        </is>
      </c>
      <c r="C30" s="17">
        <f>COUNTIFS(Realizadas!$B$8:$B$47,"&gt;="&amp;DATE($C$5,6,1),Realizadas!$B$8:$B$47,"&lt;"&amp;DATE($C$5,7,1))</f>
        <v/>
      </c>
      <c r="D30" s="18">
        <f>SUMIFS(Realizadas!$E$8:$E$47,Realizadas!$B$8:$B$47,"&gt;="&amp;DATE($C$5,6,1),Realizadas!$B$8:$B$47,"&lt;"&amp;DATE($C$5,7,1))</f>
        <v/>
      </c>
      <c r="E30" s="22">
        <f>SUMIFS(Realizadas!$F$8:$F$47,Realizadas!$B$8:$B$47,"&gt;="&amp;DATE($C$5,6,1),Realizadas!$B$8:$B$47,"&lt;"&amp;DATE($C$5,7,1))</f>
        <v/>
      </c>
      <c r="F30" s="18">
        <f>SUMIFS(Realizadas!$H$8:$H$47,Realizadas!$B$8:$B$47,"&gt;="&amp;DATE($C$5,6,1),Realizadas!$B$8:$B$47,"&lt;"&amp;DATE($C$5,7,1))*24</f>
        <v/>
      </c>
      <c r="G30" s="18">
        <f>IF(C30&gt;0,D30/C30,0)</f>
        <v/>
      </c>
    </row>
    <row r="31">
      <c r="B31" s="16" t="inlineStr">
        <is>
          <t>Julio</t>
        </is>
      </c>
      <c r="C31" s="17">
        <f>COUNTIFS(Realizadas!$B$8:$B$47,"&gt;="&amp;DATE($C$5,7,1),Realizadas!$B$8:$B$47,"&lt;"&amp;DATE($C$5,8,1))</f>
        <v/>
      </c>
      <c r="D31" s="18">
        <f>SUMIFS(Realizadas!$E$8:$E$47,Realizadas!$B$8:$B$47,"&gt;="&amp;DATE($C$5,7,1),Realizadas!$B$8:$B$47,"&lt;"&amp;DATE($C$5,8,1))</f>
        <v/>
      </c>
      <c r="E31" s="22">
        <f>SUMIFS(Realizadas!$F$8:$F$47,Realizadas!$B$8:$B$47,"&gt;="&amp;DATE($C$5,7,1),Realizadas!$B$8:$B$47,"&lt;"&amp;DATE($C$5,8,1))</f>
        <v/>
      </c>
      <c r="F31" s="18">
        <f>SUMIFS(Realizadas!$H$8:$H$47,Realizadas!$B$8:$B$47,"&gt;="&amp;DATE($C$5,7,1),Realizadas!$B$8:$B$47,"&lt;"&amp;DATE($C$5,8,1))*24</f>
        <v/>
      </c>
      <c r="G31" s="18">
        <f>IF(C31&gt;0,D31/C31,0)</f>
        <v/>
      </c>
    </row>
    <row r="32">
      <c r="B32" s="16" t="inlineStr">
        <is>
          <t>Agosto</t>
        </is>
      </c>
      <c r="C32" s="17">
        <f>COUNTIFS(Realizadas!$B$8:$B$47,"&gt;="&amp;DATE($C$5,8,1),Realizadas!$B$8:$B$47,"&lt;"&amp;DATE($C$5,9,1))</f>
        <v/>
      </c>
      <c r="D32" s="18">
        <f>SUMIFS(Realizadas!$E$8:$E$47,Realizadas!$B$8:$B$47,"&gt;="&amp;DATE($C$5,8,1),Realizadas!$B$8:$B$47,"&lt;"&amp;DATE($C$5,9,1))</f>
        <v/>
      </c>
      <c r="E32" s="22">
        <f>SUMIFS(Realizadas!$F$8:$F$47,Realizadas!$B$8:$B$47,"&gt;="&amp;DATE($C$5,8,1),Realizadas!$B$8:$B$47,"&lt;"&amp;DATE($C$5,9,1))</f>
        <v/>
      </c>
      <c r="F32" s="18">
        <f>SUMIFS(Realizadas!$H$8:$H$47,Realizadas!$B$8:$B$47,"&gt;="&amp;DATE($C$5,8,1),Realizadas!$B$8:$B$47,"&lt;"&amp;DATE($C$5,9,1))*24</f>
        <v/>
      </c>
      <c r="G32" s="18">
        <f>IF(C32&gt;0,D32/C32,0)</f>
        <v/>
      </c>
    </row>
    <row r="33">
      <c r="B33" s="16" t="inlineStr">
        <is>
          <t>Septiembre</t>
        </is>
      </c>
      <c r="C33" s="17">
        <f>COUNTIFS(Realizadas!$B$8:$B$47,"&gt;="&amp;DATE($C$5,9,1),Realizadas!$B$8:$B$47,"&lt;"&amp;DATE($C$5,10,1))</f>
        <v/>
      </c>
      <c r="D33" s="18">
        <f>SUMIFS(Realizadas!$E$8:$E$47,Realizadas!$B$8:$B$47,"&gt;="&amp;DATE($C$5,9,1),Realizadas!$B$8:$B$47,"&lt;"&amp;DATE($C$5,10,1))</f>
        <v/>
      </c>
      <c r="E33" s="22">
        <f>SUMIFS(Realizadas!$F$8:$F$47,Realizadas!$B$8:$B$47,"&gt;="&amp;DATE($C$5,9,1),Realizadas!$B$8:$B$47,"&lt;"&amp;DATE($C$5,10,1))</f>
        <v/>
      </c>
      <c r="F33" s="18">
        <f>SUMIFS(Realizadas!$H$8:$H$47,Realizadas!$B$8:$B$47,"&gt;="&amp;DATE($C$5,9,1),Realizadas!$B$8:$B$47,"&lt;"&amp;DATE($C$5,10,1))*24</f>
        <v/>
      </c>
      <c r="G33" s="18">
        <f>IF(C33&gt;0,D33/C33,0)</f>
        <v/>
      </c>
    </row>
    <row r="34">
      <c r="B34" s="16" t="inlineStr">
        <is>
          <t>Octubre</t>
        </is>
      </c>
      <c r="C34" s="17">
        <f>COUNTIFS(Realizadas!$B$8:$B$47,"&gt;="&amp;DATE($C$5,10,1),Realizadas!$B$8:$B$47,"&lt;"&amp;DATE($C$5,11,1))</f>
        <v/>
      </c>
      <c r="D34" s="18">
        <f>SUMIFS(Realizadas!$E$8:$E$47,Realizadas!$B$8:$B$47,"&gt;="&amp;DATE($C$5,10,1),Realizadas!$B$8:$B$47,"&lt;"&amp;DATE($C$5,11,1))</f>
        <v/>
      </c>
      <c r="E34" s="22">
        <f>SUMIFS(Realizadas!$F$8:$F$47,Realizadas!$B$8:$B$47,"&gt;="&amp;DATE($C$5,10,1),Realizadas!$B$8:$B$47,"&lt;"&amp;DATE($C$5,11,1))</f>
        <v/>
      </c>
      <c r="F34" s="18">
        <f>SUMIFS(Realizadas!$H$8:$H$47,Realizadas!$B$8:$B$47,"&gt;="&amp;DATE($C$5,10,1),Realizadas!$B$8:$B$47,"&lt;"&amp;DATE($C$5,11,1))*24</f>
        <v/>
      </c>
      <c r="G34" s="18">
        <f>IF(C34&gt;0,D34/C34,0)</f>
        <v/>
      </c>
    </row>
    <row r="35">
      <c r="B35" s="16" t="inlineStr">
        <is>
          <t>Noviembre</t>
        </is>
      </c>
      <c r="C35" s="17">
        <f>COUNTIFS(Realizadas!$B$8:$B$47,"&gt;="&amp;DATE($C$5,11,1),Realizadas!$B$8:$B$47,"&lt;"&amp;DATE($C$5,12,1))</f>
        <v/>
      </c>
      <c r="D35" s="18">
        <f>SUMIFS(Realizadas!$E$8:$E$47,Realizadas!$B$8:$B$47,"&gt;="&amp;DATE($C$5,11,1),Realizadas!$B$8:$B$47,"&lt;"&amp;DATE($C$5,12,1))</f>
        <v/>
      </c>
      <c r="E35" s="22">
        <f>SUMIFS(Realizadas!$F$8:$F$47,Realizadas!$B$8:$B$47,"&gt;="&amp;DATE($C$5,11,1),Realizadas!$B$8:$B$47,"&lt;"&amp;DATE($C$5,12,1))</f>
        <v/>
      </c>
      <c r="F35" s="18">
        <f>SUMIFS(Realizadas!$H$8:$H$47,Realizadas!$B$8:$B$47,"&gt;="&amp;DATE($C$5,11,1),Realizadas!$B$8:$B$47,"&lt;"&amp;DATE($C$5,12,1))*24</f>
        <v/>
      </c>
      <c r="G35" s="18">
        <f>IF(C35&gt;0,D35/C35,0)</f>
        <v/>
      </c>
    </row>
    <row r="36">
      <c r="B36" s="16" t="inlineStr">
        <is>
          <t>Diciembre</t>
        </is>
      </c>
      <c r="C36" s="17">
        <f>COUNTIFS(Realizadas!$B$8:$B$47,"&gt;="&amp;DATE($C$5,12,1),Realizadas!$B$8:$B$47,"&lt;"&amp;DATE($C$5,13,1))</f>
        <v/>
      </c>
      <c r="D36" s="18">
        <f>SUMIFS(Realizadas!$E$8:$E$47,Realizadas!$B$8:$B$47,"&gt;="&amp;DATE($C$5,12,1),Realizadas!$B$8:$B$47,"&lt;"&amp;DATE($C$5,13,1))</f>
        <v/>
      </c>
      <c r="E36" s="22">
        <f>SUMIFS(Realizadas!$F$8:$F$47,Realizadas!$B$8:$B$47,"&gt;="&amp;DATE($C$5,12,1),Realizadas!$B$8:$B$47,"&lt;"&amp;DATE($C$5,13,1))</f>
        <v/>
      </c>
      <c r="F36" s="18">
        <f>SUMIFS(Realizadas!$H$8:$H$47,Realizadas!$B$8:$B$47,"&gt;="&amp;DATE($C$5,12,1),Realizadas!$B$8:$B$47,"&lt;"&amp;DATE($C$5,13,1))*24</f>
        <v/>
      </c>
      <c r="G36" s="18">
        <f>IF(C36&gt;0,D36/C36,0)</f>
        <v/>
      </c>
    </row>
    <row r="37">
      <c r="B37" s="4" t="inlineStr">
        <is>
          <t>TOTAL</t>
        </is>
      </c>
      <c r="C37" s="20">
        <f>SUM(C25:C36)</f>
        <v/>
      </c>
      <c r="D37" s="21">
        <f>SUM(D25:D36)</f>
        <v/>
      </c>
      <c r="E37" s="20">
        <f>SUM(E25:E36)</f>
        <v/>
      </c>
      <c r="F37" s="21">
        <f>SUM(F25:F36)</f>
        <v/>
      </c>
      <c r="G37" s="21">
        <f>IF(C37&gt;0,D37/C37,0)</f>
        <v/>
      </c>
    </row>
    <row r="38">
      <c r="B38" s="23" t="inlineStr">
        <is>
          <t>En ámbar, el mes en que más kilómetros has caminado.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5">
    <mergeCell ref="D8:E8"/>
    <mergeCell ref="F11:G11"/>
    <mergeCell ref="D7:E7"/>
    <mergeCell ref="B7:C7"/>
    <mergeCell ref="B11:C11"/>
    <mergeCell ref="D10:E10"/>
    <mergeCell ref="F10:G10"/>
    <mergeCell ref="D11:E11"/>
    <mergeCell ref="C13:E13"/>
    <mergeCell ref="B10:C10"/>
    <mergeCell ref="B2:H2"/>
    <mergeCell ref="B3:H3"/>
    <mergeCell ref="B8:C8"/>
    <mergeCell ref="F7:G7"/>
    <mergeCell ref="F8:G8"/>
  </mergeCells>
  <conditionalFormatting sqref="E17:E20">
    <cfRule type="dataBar" priority="1">
      <dataBar>
        <cfvo type="num" val="0"/>
        <cfvo type="max"/>
        <color rgb="0010B981"/>
      </dataBar>
    </cfRule>
  </conditionalFormatting>
  <conditionalFormatting sqref="H17:H20">
    <cfRule type="expression" priority="2" dxfId="0">
      <formula>H17&gt;0</formula>
    </cfRule>
  </conditionalFormatting>
  <conditionalFormatting sqref="D25:D36">
    <cfRule type="dataBar" priority="3">
      <dataBar>
        <cfvo type="num" val="0"/>
        <cfvo type="max"/>
        <color rgb="0010B981"/>
      </dataBar>
    </cfRule>
  </conditionalFormatting>
  <conditionalFormatting sqref="B25:G36">
    <cfRule type="expression" priority="4" dxfId="0">
      <formula>AND($C25&gt;0,$D25=MAX($D$25:$D$36))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S4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0" customWidth="1" min="2" max="2"/>
    <col width="13" customWidth="1" min="3" max="3"/>
    <col width="11" customWidth="1" min="4" max="4"/>
    <col width="11" customWidth="1" min="5" max="5"/>
    <col width="11" customWidth="1" min="6" max="6"/>
    <col width="12" customWidth="1" min="7" max="7"/>
    <col width="11" customWidth="1" min="8" max="8"/>
    <col width="18" customWidth="1" min="9" max="9"/>
    <col width="12" customWidth="1" min="10" max="10"/>
    <col width="13" customWidth="1" min="11" max="11"/>
    <col width="10" customWidth="1" min="12" max="12"/>
    <col width="10" customWidth="1" min="13" max="13"/>
    <col width="11" customWidth="1" min="14" max="14"/>
    <col width="11" customWidth="1" min="15" max="15"/>
    <col width="10" customWidth="1" min="16" max="16"/>
    <col width="10" customWidth="1" min="17" max="17"/>
    <col width="12" customWidth="1" min="18" max="18"/>
    <col width="10" customWidth="1" min="19" max="19"/>
  </cols>
  <sheetData>
    <row r="2" ht="34" customHeight="1">
      <c r="B2" s="1" t="inlineStr">
        <is>
          <t>Planificador de rutas de senderismo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</row>
    <row r="3">
      <c r="B3" s="3" t="inlineStr">
        <is>
          <t>Distancia, desnivel y dificultad: el tiempo estimado y el esfuerzo se calculan solos</t>
        </is>
      </c>
    </row>
    <row r="4" ht="30" customHeight="1">
      <c r="B4" s="24" t="inlineStr">
        <is>
          <t>Velocidad en llano (km/h)</t>
        </is>
      </c>
      <c r="C4" s="25" t="n">
        <v>4</v>
      </c>
      <c r="D4" s="24" t="inlineStr">
        <is>
          <t>Subida (m/h)</t>
        </is>
      </c>
      <c r="E4" s="26" t="n">
        <v>400</v>
      </c>
      <c r="F4" s="24" t="inlineStr">
        <is>
          <t>Bajada (m/h)</t>
        </is>
      </c>
      <c r="G4" s="26" t="n">
        <v>800</v>
      </c>
      <c r="H4" s="24" t="inlineStr">
        <is>
          <t>Paradas (%)</t>
        </is>
      </c>
      <c r="I4" s="27" t="n">
        <v>0.15</v>
      </c>
      <c r="J4" s="24" t="inlineStr">
        <is>
          <t>Esfuerzo medio desde</t>
        </is>
      </c>
      <c r="K4" s="5" t="n">
        <v>15</v>
      </c>
      <c r="L4" s="24" t="inlineStr">
        <is>
          <t>Exigente desde</t>
        </is>
      </c>
      <c r="M4" s="5" t="n">
        <v>25</v>
      </c>
    </row>
    <row r="5">
      <c r="B5" s="23" t="inlineStr">
        <is>
          <t>Parámetros de ritmo editables (método tipo Naismith). Ajusta los valores a tu forma física y al grupo.</t>
        </is>
      </c>
    </row>
    <row r="7" ht="34" customHeight="1">
      <c r="B7" s="15" t="inlineStr">
        <is>
          <t>Ruta</t>
        </is>
      </c>
      <c r="C7" s="15" t="inlineStr">
        <is>
          <t>Dificultad</t>
        </is>
      </c>
      <c r="D7" s="15" t="inlineStr">
        <is>
          <t>Distancia (km)</t>
        </is>
      </c>
      <c r="E7" s="15" t="inlineStr">
        <is>
          <t>Desnivel + (m)</t>
        </is>
      </c>
      <c r="F7" s="15" t="inlineStr">
        <is>
          <t>Desnivel − (m)</t>
        </is>
      </c>
      <c r="G7" s="15" t="inlineStr">
        <is>
          <t>Tiempo estimado</t>
        </is>
      </c>
      <c r="H7" s="15" t="inlineStr">
        <is>
          <t>Tipo</t>
        </is>
      </c>
      <c r="I7" s="15" t="inlineStr">
        <is>
          <t>Zona</t>
        </is>
      </c>
      <c r="J7" s="15" t="inlineStr">
        <is>
          <t>Fecha</t>
        </is>
      </c>
      <c r="K7" s="15" t="inlineStr">
        <is>
          <t>Estado</t>
        </is>
      </c>
      <c r="L7" s="15" t="inlineStr">
        <is>
          <t>Hora salida</t>
        </is>
      </c>
      <c r="M7" s="15" t="inlineStr">
        <is>
          <t>Hora llegada</t>
        </is>
      </c>
      <c r="N7" s="15" t="inlineStr">
        <is>
          <t>Índice esfuerzo</t>
        </is>
      </c>
      <c r="O7" s="15" t="inlineStr">
        <is>
          <t>Nivel</t>
        </is>
      </c>
      <c r="P7" s="15" t="inlineStr">
        <is>
          <t>Días restantes</t>
        </is>
      </c>
      <c r="Q7" s="15" t="inlineStr">
        <is>
          <t>Veces hecha</t>
        </is>
      </c>
      <c r="R7" s="15" t="inlineStr">
        <is>
          <t>Material (nº)</t>
        </is>
      </c>
      <c r="S7" s="15" t="inlineStr">
        <is>
          <t>Me faltan</t>
        </is>
      </c>
    </row>
    <row r="8">
      <c r="B8" s="28" t="inlineStr">
        <is>
          <t>Circular de la Laguna Alta</t>
        </is>
      </c>
      <c r="C8" s="29" t="inlineStr">
        <is>
          <t>Moderada</t>
        </is>
      </c>
      <c r="D8" s="30" t="n">
        <v>12.4</v>
      </c>
      <c r="E8" s="31" t="n">
        <v>640</v>
      </c>
      <c r="F8" s="31" t="n">
        <v>640</v>
      </c>
      <c r="G8" s="32">
        <f>IF(D8="","",(D8/$C$4+E8/$E$4+F8/$G$4)*(1+$I$4)/24)</f>
        <v/>
      </c>
      <c r="H8" s="29" t="inlineStr">
        <is>
          <t>Circular</t>
        </is>
      </c>
      <c r="I8" s="28" t="inlineStr">
        <is>
          <t>Sierra norte</t>
        </is>
      </c>
      <c r="J8" s="33" t="n">
        <v>46095</v>
      </c>
      <c r="K8" s="29" t="inlineStr">
        <is>
          <t>Hecha</t>
        </is>
      </c>
      <c r="L8" s="34" t="n">
        <v>0.3541666666666667</v>
      </c>
      <c r="M8" s="35">
        <f>IF(OR(G8="",L8=""),"",MOD(L8+G8,1))</f>
        <v/>
      </c>
      <c r="N8" s="19">
        <f>IF(D8="","",ROUND(D8+E8/100,1))</f>
        <v/>
      </c>
      <c r="O8" s="36">
        <f>IF(N8="","",IF(N8&gt;=$M$4,"Exigente",IF(N8&gt;=$K$4,"Media","Suave")))</f>
        <v/>
      </c>
      <c r="P8" s="37">
        <f>IF(OR(J8="",K8="Hecha"),"",J8-TODAY())</f>
        <v/>
      </c>
      <c r="Q8" s="17">
        <f>IF(B8="","",COUNTIF(Realizadas!$C$8:$C$47,B8))</f>
        <v/>
      </c>
      <c r="R8" s="17">
        <f>IF(OR(B8="",C8=""),"",IFERROR(INDEX(Material!$E$38:$H$38,MATCH(C8,Material!$E$7:$H$7,0)),""))</f>
        <v/>
      </c>
      <c r="S8" s="17">
        <f>IF(R8="","",IFERROR(INDEX(Material!$E$40:$H$40,MATCH(C8,Material!$E$7:$H$7,0)),""))</f>
        <v/>
      </c>
    </row>
    <row r="9">
      <c r="B9" s="28" t="inlineStr">
        <is>
          <t>Senda del Río Claro</t>
        </is>
      </c>
      <c r="C9" s="29" t="inlineStr">
        <is>
          <t>Fácil</t>
        </is>
      </c>
      <c r="D9" s="30" t="n">
        <v>7.8</v>
      </c>
      <c r="E9" s="31" t="n">
        <v>120</v>
      </c>
      <c r="F9" s="31" t="n">
        <v>80</v>
      </c>
      <c r="G9" s="32">
        <f>IF(D9="","",(D9/$C$4+E9/$E$4+F9/$G$4)*(1+$I$4)/24)</f>
        <v/>
      </c>
      <c r="H9" s="29" t="inlineStr">
        <is>
          <t>Lineal</t>
        </is>
      </c>
      <c r="I9" s="28" t="inlineStr">
        <is>
          <t>Valle del río</t>
        </is>
      </c>
      <c r="J9" s="33" t="n">
        <v>46256</v>
      </c>
      <c r="K9" s="29" t="inlineStr">
        <is>
          <t>Hecha</t>
        </is>
      </c>
      <c r="L9" s="34" t="n">
        <v>0.4166666666666667</v>
      </c>
      <c r="M9" s="35">
        <f>IF(OR(G9="",L9=""),"",MOD(L9+G9,1))</f>
        <v/>
      </c>
      <c r="N9" s="19">
        <f>IF(D9="","",ROUND(D9+E9/100,1))</f>
        <v/>
      </c>
      <c r="O9" s="36">
        <f>IF(N9="","",IF(N9&gt;=$M$4,"Exigente",IF(N9&gt;=$K$4,"Media","Suave")))</f>
        <v/>
      </c>
      <c r="P9" s="37">
        <f>IF(OR(J9="",K9="Hecha"),"",J9-TODAY())</f>
        <v/>
      </c>
      <c r="Q9" s="17">
        <f>IF(B9="","",COUNTIF(Realizadas!$C$8:$C$47,B9))</f>
        <v/>
      </c>
      <c r="R9" s="17">
        <f>IF(OR(B9="",C9=""),"",IFERROR(INDEX(Material!$E$38:$H$38,MATCH(C9,Material!$E$7:$H$7,0)),""))</f>
        <v/>
      </c>
      <c r="S9" s="17">
        <f>IF(R9="","",IFERROR(INDEX(Material!$E$40:$H$40,MATCH(C9,Material!$E$7:$H$7,0)),""))</f>
        <v/>
      </c>
    </row>
    <row r="10">
      <c r="B10" s="28" t="inlineStr">
        <is>
          <t>Subida al Pico Alto</t>
        </is>
      </c>
      <c r="C10" s="29" t="inlineStr">
        <is>
          <t>Difícil</t>
        </is>
      </c>
      <c r="D10" s="30" t="n">
        <v>16.2</v>
      </c>
      <c r="E10" s="31" t="n">
        <v>1150</v>
      </c>
      <c r="F10" s="31" t="n">
        <v>1150</v>
      </c>
      <c r="G10" s="32">
        <f>IF(D10="","",(D10/$C$4+E10/$E$4+F10/$G$4)*(1+$I$4)/24)</f>
        <v/>
      </c>
      <c r="H10" s="29" t="inlineStr">
        <is>
          <t>Circular</t>
        </is>
      </c>
      <c r="I10" s="28" t="inlineStr">
        <is>
          <t>Sierra central</t>
        </is>
      </c>
      <c r="J10" s="33" t="n">
        <v>46137</v>
      </c>
      <c r="K10" s="29" t="inlineStr">
        <is>
          <t>Hecha</t>
        </is>
      </c>
      <c r="L10" s="34" t="n">
        <v>0.3125</v>
      </c>
      <c r="M10" s="35">
        <f>IF(OR(G10="",L10=""),"",MOD(L10+G10,1))</f>
        <v/>
      </c>
      <c r="N10" s="19">
        <f>IF(D10="","",ROUND(D10+E10/100,1))</f>
        <v/>
      </c>
      <c r="O10" s="36">
        <f>IF(N10="","",IF(N10&gt;=$M$4,"Exigente",IF(N10&gt;=$K$4,"Media","Suave")))</f>
        <v/>
      </c>
      <c r="P10" s="37">
        <f>IF(OR(J10="",K10="Hecha"),"",J10-TODAY())</f>
        <v/>
      </c>
      <c r="Q10" s="17">
        <f>IF(B10="","",COUNTIF(Realizadas!$C$8:$C$47,B10))</f>
        <v/>
      </c>
      <c r="R10" s="17">
        <f>IF(OR(B10="",C10=""),"",IFERROR(INDEX(Material!$E$38:$H$38,MATCH(C10,Material!$E$7:$H$7,0)),""))</f>
        <v/>
      </c>
      <c r="S10" s="17">
        <f>IF(R10="","",IFERROR(INDEX(Material!$E$40:$H$40,MATCH(C10,Material!$E$7:$H$7,0)),""))</f>
        <v/>
      </c>
    </row>
    <row r="11">
      <c r="B11" s="28" t="inlineStr">
        <is>
          <t>Hayedo del Valle</t>
        </is>
      </c>
      <c r="C11" s="29" t="inlineStr">
        <is>
          <t>Fácil</t>
        </is>
      </c>
      <c r="D11" s="30" t="n">
        <v>9.5</v>
      </c>
      <c r="E11" s="31" t="n">
        <v>280</v>
      </c>
      <c r="F11" s="31" t="n">
        <v>280</v>
      </c>
      <c r="G11" s="32">
        <f>IF(D11="","",(D11/$C$4+E11/$E$4+F11/$G$4)*(1+$I$4)/24)</f>
        <v/>
      </c>
      <c r="H11" s="29" t="inlineStr">
        <is>
          <t>Circular</t>
        </is>
      </c>
      <c r="I11" s="28" t="inlineStr">
        <is>
          <t>Pirineo</t>
        </is>
      </c>
      <c r="J11" s="33" t="n">
        <v>46296</v>
      </c>
      <c r="K11" s="29" t="inlineStr">
        <is>
          <t>Hecha</t>
        </is>
      </c>
      <c r="L11" s="34" t="n">
        <v>0.375</v>
      </c>
      <c r="M11" s="35">
        <f>IF(OR(G11="",L11=""),"",MOD(L11+G11,1))</f>
        <v/>
      </c>
      <c r="N11" s="19">
        <f>IF(D11="","",ROUND(D11+E11/100,1))</f>
        <v/>
      </c>
      <c r="O11" s="36">
        <f>IF(N11="","",IF(N11&gt;=$M$4,"Exigente",IF(N11&gt;=$K$4,"Media","Suave")))</f>
        <v/>
      </c>
      <c r="P11" s="37">
        <f>IF(OR(J11="",K11="Hecha"),"",J11-TODAY())</f>
        <v/>
      </c>
      <c r="Q11" s="17">
        <f>IF(B11="","",COUNTIF(Realizadas!$C$8:$C$47,B11))</f>
        <v/>
      </c>
      <c r="R11" s="17">
        <f>IF(OR(B11="",C11=""),"",IFERROR(INDEX(Material!$E$38:$H$38,MATCH(C11,Material!$E$7:$H$7,0)),""))</f>
        <v/>
      </c>
      <c r="S11" s="17">
        <f>IF(R11="","",IFERROR(INDEX(Material!$E$40:$H$40,MATCH(C11,Material!$E$7:$H$7,0)),""))</f>
        <v/>
      </c>
    </row>
    <row r="12">
      <c r="B12" s="28" t="inlineStr">
        <is>
          <t>Cresta de las Cuerdas</t>
        </is>
      </c>
      <c r="C12" s="29" t="inlineStr">
        <is>
          <t>Muy difícil</t>
        </is>
      </c>
      <c r="D12" s="30" t="n">
        <v>21</v>
      </c>
      <c r="E12" s="31" t="n">
        <v>1480</v>
      </c>
      <c r="F12" s="31" t="n">
        <v>1480</v>
      </c>
      <c r="G12" s="32">
        <f>IF(D12="","",(D12/$C$4+E12/$E$4+F12/$G$4)*(1+$I$4)/24)</f>
        <v/>
      </c>
      <c r="H12" s="29" t="inlineStr">
        <is>
          <t>Circular</t>
        </is>
      </c>
      <c r="I12" s="28" t="inlineStr">
        <is>
          <t>Sierra central</t>
        </is>
      </c>
      <c r="J12" s="33" t="n">
        <v>46186</v>
      </c>
      <c r="K12" s="29" t="inlineStr">
        <is>
          <t>Hecha</t>
        </is>
      </c>
      <c r="L12" s="34" t="n">
        <v>0.2708333333333333</v>
      </c>
      <c r="M12" s="35">
        <f>IF(OR(G12="",L12=""),"",MOD(L12+G12,1))</f>
        <v/>
      </c>
      <c r="N12" s="19">
        <f>IF(D12="","",ROUND(D12+E12/100,1))</f>
        <v/>
      </c>
      <c r="O12" s="36">
        <f>IF(N12="","",IF(N12&gt;=$M$4,"Exigente",IF(N12&gt;=$K$4,"Media","Suave")))</f>
        <v/>
      </c>
      <c r="P12" s="37">
        <f>IF(OR(J12="",K12="Hecha"),"",J12-TODAY())</f>
        <v/>
      </c>
      <c r="Q12" s="17">
        <f>IF(B12="","",COUNTIF(Realizadas!$C$8:$C$47,B12))</f>
        <v/>
      </c>
      <c r="R12" s="17">
        <f>IF(OR(B12="",C12=""),"",IFERROR(INDEX(Material!$E$38:$H$38,MATCH(C12,Material!$E$7:$H$7,0)),""))</f>
        <v/>
      </c>
      <c r="S12" s="17">
        <f>IF(R12="","",IFERROR(INDEX(Material!$E$40:$H$40,MATCH(C12,Material!$E$7:$H$7,0)),""))</f>
        <v/>
      </c>
    </row>
    <row r="13">
      <c r="B13" s="28" t="inlineStr">
        <is>
          <t>Cascadas del Barranco</t>
        </is>
      </c>
      <c r="C13" s="29" t="inlineStr">
        <is>
          <t>Moderada</t>
        </is>
      </c>
      <c r="D13" s="30" t="n">
        <v>10.8</v>
      </c>
      <c r="E13" s="31" t="n">
        <v>520</v>
      </c>
      <c r="F13" s="31" t="n">
        <v>300</v>
      </c>
      <c r="G13" s="32">
        <f>IF(D13="","",(D13/$C$4+E13/$E$4+F13/$G$4)*(1+$I$4)/24)</f>
        <v/>
      </c>
      <c r="H13" s="29" t="inlineStr">
        <is>
          <t>Lineal</t>
        </is>
      </c>
      <c r="I13" s="28" t="inlineStr">
        <is>
          <t>Prepirineo</t>
        </is>
      </c>
      <c r="J13" s="33" t="n">
        <v>46207</v>
      </c>
      <c r="K13" s="29" t="inlineStr">
        <is>
          <t>Hecha</t>
        </is>
      </c>
      <c r="L13" s="34" t="n">
        <v>0.3958333333333333</v>
      </c>
      <c r="M13" s="35">
        <f>IF(OR(G13="",L13=""),"",MOD(L13+G13,1))</f>
        <v/>
      </c>
      <c r="N13" s="19">
        <f>IF(D13="","",ROUND(D13+E13/100,1))</f>
        <v/>
      </c>
      <c r="O13" s="36">
        <f>IF(N13="","",IF(N13&gt;=$M$4,"Exigente",IF(N13&gt;=$K$4,"Media","Suave")))</f>
        <v/>
      </c>
      <c r="P13" s="37">
        <f>IF(OR(J13="",K13="Hecha"),"",J13-TODAY())</f>
        <v/>
      </c>
      <c r="Q13" s="17">
        <f>IF(B13="","",COUNTIF(Realizadas!$C$8:$C$47,B13))</f>
        <v/>
      </c>
      <c r="R13" s="17">
        <f>IF(OR(B13="",C13=""),"",IFERROR(INDEX(Material!$E$38:$H$38,MATCH(C13,Material!$E$7:$H$7,0)),""))</f>
        <v/>
      </c>
      <c r="S13" s="17">
        <f>IF(R13="","",IFERROR(INDEX(Material!$E$40:$H$40,MATCH(C13,Material!$E$7:$H$7,0)),""))</f>
        <v/>
      </c>
    </row>
    <row r="14">
      <c r="B14" s="28" t="inlineStr">
        <is>
          <t>Ruta de los Miradores</t>
        </is>
      </c>
      <c r="C14" s="29" t="inlineStr">
        <is>
          <t>Moderada</t>
        </is>
      </c>
      <c r="D14" s="30" t="n">
        <v>13.6</v>
      </c>
      <c r="E14" s="31" t="n">
        <v>590</v>
      </c>
      <c r="F14" s="31" t="n">
        <v>590</v>
      </c>
      <c r="G14" s="32">
        <f>IF(D14="","",(D14/$C$4+E14/$E$4+F14/$G$4)*(1+$I$4)/24)</f>
        <v/>
      </c>
      <c r="H14" s="29" t="inlineStr">
        <is>
          <t>Circular</t>
        </is>
      </c>
      <c r="I14" s="28" t="inlineStr">
        <is>
          <t>Costa verde</t>
        </is>
      </c>
      <c r="J14" s="33" t="n">
        <v>46277</v>
      </c>
      <c r="K14" s="29" t="inlineStr">
        <is>
          <t>Hecha</t>
        </is>
      </c>
      <c r="L14" s="34" t="n">
        <v>0.3333333333333333</v>
      </c>
      <c r="M14" s="35">
        <f>IF(OR(G14="",L14=""),"",MOD(L14+G14,1))</f>
        <v/>
      </c>
      <c r="N14" s="19">
        <f>IF(D14="","",ROUND(D14+E14/100,1))</f>
        <v/>
      </c>
      <c r="O14" s="36">
        <f>IF(N14="","",IF(N14&gt;=$M$4,"Exigente",IF(N14&gt;=$K$4,"Media","Suave")))</f>
        <v/>
      </c>
      <c r="P14" s="37">
        <f>IF(OR(J14="",K14="Hecha"),"",J14-TODAY())</f>
        <v/>
      </c>
      <c r="Q14" s="17">
        <f>IF(B14="","",COUNTIF(Realizadas!$C$8:$C$47,B14))</f>
        <v/>
      </c>
      <c r="R14" s="17">
        <f>IF(OR(B14="",C14=""),"",IFERROR(INDEX(Material!$E$38:$H$38,MATCH(C14,Material!$E$7:$H$7,0)),""))</f>
        <v/>
      </c>
      <c r="S14" s="17">
        <f>IF(R14="","",IFERROR(INDEX(Material!$E$40:$H$40,MATCH(C14,Material!$E$7:$H$7,0)),""))</f>
        <v/>
      </c>
    </row>
    <row r="15">
      <c r="B15" s="28" t="inlineStr">
        <is>
          <t>Refugio del Collado</t>
        </is>
      </c>
      <c r="C15" s="29" t="inlineStr">
        <is>
          <t>Difícil</t>
        </is>
      </c>
      <c r="D15" s="30" t="n">
        <v>14.9</v>
      </c>
      <c r="E15" s="31" t="n">
        <v>980</v>
      </c>
      <c r="F15" s="31" t="n">
        <v>150</v>
      </c>
      <c r="G15" s="32">
        <f>IF(D15="","",(D15/$C$4+E15/$E$4+F15/$G$4)*(1+$I$4)/24)</f>
        <v/>
      </c>
      <c r="H15" s="29" t="inlineStr">
        <is>
          <t>Lineal</t>
        </is>
      </c>
      <c r="I15" s="28" t="inlineStr">
        <is>
          <t>Pirineo</t>
        </is>
      </c>
      <c r="J15" s="33" t="n">
        <v>46291</v>
      </c>
      <c r="K15" s="29" t="inlineStr">
        <is>
          <t>Hecha</t>
        </is>
      </c>
      <c r="L15" s="34" t="n">
        <v>0.3333333333333333</v>
      </c>
      <c r="M15" s="35">
        <f>IF(OR(G15="",L15=""),"",MOD(L15+G15,1))</f>
        <v/>
      </c>
      <c r="N15" s="19">
        <f>IF(D15="","",ROUND(D15+E15/100,1))</f>
        <v/>
      </c>
      <c r="O15" s="36">
        <f>IF(N15="","",IF(N15&gt;=$M$4,"Exigente",IF(N15&gt;=$K$4,"Media","Suave")))</f>
        <v/>
      </c>
      <c r="P15" s="37">
        <f>IF(OR(J15="",K15="Hecha"),"",J15-TODAY())</f>
        <v/>
      </c>
      <c r="Q15" s="17">
        <f>IF(B15="","",COUNTIF(Realizadas!$C$8:$C$47,B15))</f>
        <v/>
      </c>
      <c r="R15" s="17">
        <f>IF(OR(B15="",C15=""),"",IFERROR(INDEX(Material!$E$38:$H$38,MATCH(C15,Material!$E$7:$H$7,0)),""))</f>
        <v/>
      </c>
      <c r="S15" s="17">
        <f>IF(R15="","",IFERROR(INDEX(Material!$E$40:$H$40,MATCH(C15,Material!$E$7:$H$7,0)),""))</f>
        <v/>
      </c>
    </row>
    <row r="16">
      <c r="B16" s="28" t="inlineStr">
        <is>
          <t>Lagunas Glaciares</t>
        </is>
      </c>
      <c r="C16" s="29" t="inlineStr">
        <is>
          <t>Difícil</t>
        </is>
      </c>
      <c r="D16" s="30" t="n">
        <v>18.3</v>
      </c>
      <c r="E16" s="31" t="n">
        <v>1050</v>
      </c>
      <c r="F16" s="31" t="n">
        <v>1050</v>
      </c>
      <c r="G16" s="32">
        <f>IF(D16="","",(D16/$C$4+E16/$E$4+F16/$G$4)*(1+$I$4)/24)</f>
        <v/>
      </c>
      <c r="H16" s="29" t="inlineStr">
        <is>
          <t>Circular</t>
        </is>
      </c>
      <c r="I16" s="28" t="inlineStr">
        <is>
          <t>Sierra central</t>
        </is>
      </c>
      <c r="J16" s="33" t="n">
        <v>46312</v>
      </c>
      <c r="K16" s="29" t="inlineStr">
        <is>
          <t>Planificada</t>
        </is>
      </c>
      <c r="L16" s="34" t="n">
        <v>0.3125</v>
      </c>
      <c r="M16" s="35">
        <f>IF(OR(G16="",L16=""),"",MOD(L16+G16,1))</f>
        <v/>
      </c>
      <c r="N16" s="19">
        <f>IF(D16="","",ROUND(D16+E16/100,1))</f>
        <v/>
      </c>
      <c r="O16" s="36">
        <f>IF(N16="","",IF(N16&gt;=$M$4,"Exigente",IF(N16&gt;=$K$4,"Media","Suave")))</f>
        <v/>
      </c>
      <c r="P16" s="37">
        <f>IF(OR(J16="",K16="Hecha"),"",J16-TODAY())</f>
        <v/>
      </c>
      <c r="Q16" s="17">
        <f>IF(B16="","",COUNTIF(Realizadas!$C$8:$C$47,B16))</f>
        <v/>
      </c>
      <c r="R16" s="17">
        <f>IF(OR(B16="",C16=""),"",IFERROR(INDEX(Material!$E$38:$H$38,MATCH(C16,Material!$E$7:$H$7,0)),""))</f>
        <v/>
      </c>
      <c r="S16" s="17">
        <f>IF(R16="","",IFERROR(INDEX(Material!$E$40:$H$40,MATCH(C16,Material!$E$7:$H$7,0)),""))</f>
        <v/>
      </c>
    </row>
    <row r="17">
      <c r="B17" s="28" t="inlineStr">
        <is>
          <t>Camino de las Hoces</t>
        </is>
      </c>
      <c r="C17" s="29" t="inlineStr">
        <is>
          <t>Fácil</t>
        </is>
      </c>
      <c r="D17" s="30" t="n">
        <v>6.4</v>
      </c>
      <c r="E17" s="31" t="n">
        <v>90</v>
      </c>
      <c r="F17" s="31" t="n">
        <v>130</v>
      </c>
      <c r="G17" s="32">
        <f>IF(D17="","",(D17/$C$4+E17/$E$4+F17/$G$4)*(1+$I$4)/24)</f>
        <v/>
      </c>
      <c r="H17" s="29" t="inlineStr">
        <is>
          <t>Lineal</t>
        </is>
      </c>
      <c r="I17" s="28" t="inlineStr">
        <is>
          <t>Serranía</t>
        </is>
      </c>
      <c r="J17" s="33" t="n">
        <v>46319</v>
      </c>
      <c r="K17" s="29" t="inlineStr">
        <is>
          <t>Planificada</t>
        </is>
      </c>
      <c r="L17" s="34" t="n">
        <v>0.4375</v>
      </c>
      <c r="M17" s="35">
        <f>IF(OR(G17="",L17=""),"",MOD(L17+G17,1))</f>
        <v/>
      </c>
      <c r="N17" s="19">
        <f>IF(D17="","",ROUND(D17+E17/100,1))</f>
        <v/>
      </c>
      <c r="O17" s="36">
        <f>IF(N17="","",IF(N17&gt;=$M$4,"Exigente",IF(N17&gt;=$K$4,"Media","Suave")))</f>
        <v/>
      </c>
      <c r="P17" s="37">
        <f>IF(OR(J17="",K17="Hecha"),"",J17-TODAY())</f>
        <v/>
      </c>
      <c r="Q17" s="17">
        <f>IF(B17="","",COUNTIF(Realizadas!$C$8:$C$47,B17))</f>
        <v/>
      </c>
      <c r="R17" s="17">
        <f>IF(OR(B17="",C17=""),"",IFERROR(INDEX(Material!$E$38:$H$38,MATCH(C17,Material!$E$7:$H$7,0)),""))</f>
        <v/>
      </c>
      <c r="S17" s="17">
        <f>IF(R17="","",IFERROR(INDEX(Material!$E$40:$H$40,MATCH(C17,Material!$E$7:$H$7,0)),""))</f>
        <v/>
      </c>
    </row>
    <row r="18">
      <c r="B18" s="28" t="inlineStr">
        <is>
          <t>Integral del Cañón</t>
        </is>
      </c>
      <c r="C18" s="29" t="inlineStr">
        <is>
          <t>Muy difícil</t>
        </is>
      </c>
      <c r="D18" s="30" t="n">
        <v>24.5</v>
      </c>
      <c r="E18" s="31" t="n">
        <v>1320</v>
      </c>
      <c r="F18" s="31" t="n">
        <v>1320</v>
      </c>
      <c r="G18" s="32">
        <f>IF(D18="","",(D18/$C$4+E18/$E$4+F18/$G$4)*(1+$I$4)/24)</f>
        <v/>
      </c>
      <c r="H18" s="29" t="inlineStr">
        <is>
          <t>Circular</t>
        </is>
      </c>
      <c r="I18" s="28" t="inlineStr">
        <is>
          <t>Cañón del río</t>
        </is>
      </c>
      <c r="J18" s="33" t="n">
        <v>46340</v>
      </c>
      <c r="K18" s="29" t="inlineStr">
        <is>
          <t>Planificada</t>
        </is>
      </c>
      <c r="L18" s="34" t="n">
        <v>0.2916666666666667</v>
      </c>
      <c r="M18" s="35">
        <f>IF(OR(G18="",L18=""),"",MOD(L18+G18,1))</f>
        <v/>
      </c>
      <c r="N18" s="19">
        <f>IF(D18="","",ROUND(D18+E18/100,1))</f>
        <v/>
      </c>
      <c r="O18" s="36">
        <f>IF(N18="","",IF(N18&gt;=$M$4,"Exigente",IF(N18&gt;=$K$4,"Media","Suave")))</f>
        <v/>
      </c>
      <c r="P18" s="37">
        <f>IF(OR(J18="",K18="Hecha"),"",J18-TODAY())</f>
        <v/>
      </c>
      <c r="Q18" s="17">
        <f>IF(B18="","",COUNTIF(Realizadas!$C$8:$C$47,B18))</f>
        <v/>
      </c>
      <c r="R18" s="17">
        <f>IF(OR(B18="",C18=""),"",IFERROR(INDEX(Material!$E$38:$H$38,MATCH(C18,Material!$E$7:$H$7,0)),""))</f>
        <v/>
      </c>
      <c r="S18" s="17">
        <f>IF(R18="","",IFERROR(INDEX(Material!$E$40:$H$40,MATCH(C18,Material!$E$7:$H$7,0)),""))</f>
        <v/>
      </c>
    </row>
    <row r="19">
      <c r="B19" s="28" t="inlineStr">
        <is>
          <t>Paseo del Faro</t>
        </is>
      </c>
      <c r="C19" s="29" t="inlineStr">
        <is>
          <t>Fácil</t>
        </is>
      </c>
      <c r="D19" s="30" t="n">
        <v>5.2</v>
      </c>
      <c r="E19" s="31" t="n">
        <v>150</v>
      </c>
      <c r="F19" s="31" t="n">
        <v>150</v>
      </c>
      <c r="G19" s="32">
        <f>IF(D19="","",(D19/$C$4+E19/$E$4+F19/$G$4)*(1+$I$4)/24)</f>
        <v/>
      </c>
      <c r="H19" s="29" t="inlineStr">
        <is>
          <t>Ida y vuelta</t>
        </is>
      </c>
      <c r="I19" s="28" t="inlineStr">
        <is>
          <t>Costa verde</t>
        </is>
      </c>
      <c r="J19" s="33" t="n"/>
      <c r="K19" s="29" t="inlineStr">
        <is>
          <t>Pendiente</t>
        </is>
      </c>
      <c r="L19" s="34" t="n"/>
      <c r="M19" s="35">
        <f>IF(OR(G19="",L19=""),"",MOD(L19+G19,1))</f>
        <v/>
      </c>
      <c r="N19" s="19">
        <f>IF(D19="","",ROUND(D19+E19/100,1))</f>
        <v/>
      </c>
      <c r="O19" s="36">
        <f>IF(N19="","",IF(N19&gt;=$M$4,"Exigente",IF(N19&gt;=$K$4,"Media","Suave")))</f>
        <v/>
      </c>
      <c r="P19" s="37">
        <f>IF(OR(J19="",K19="Hecha"),"",J19-TODAY())</f>
        <v/>
      </c>
      <c r="Q19" s="17">
        <f>IF(B19="","",COUNTIF(Realizadas!$C$8:$C$47,B19))</f>
        <v/>
      </c>
      <c r="R19" s="17">
        <f>IF(OR(B19="",C19=""),"",IFERROR(INDEX(Material!$E$38:$H$38,MATCH(C19,Material!$E$7:$H$7,0)),""))</f>
        <v/>
      </c>
      <c r="S19" s="17">
        <f>IF(R19="","",IFERROR(INDEX(Material!$E$40:$H$40,MATCH(C19,Material!$E$7:$H$7,0)),""))</f>
        <v/>
      </c>
    </row>
    <row r="20">
      <c r="B20" s="28" t="n"/>
      <c r="C20" s="29" t="n"/>
      <c r="D20" s="30" t="n"/>
      <c r="E20" s="31" t="n"/>
      <c r="F20" s="31" t="n"/>
      <c r="G20" s="32">
        <f>IF(D20="","",(D20/$C$4+E20/$E$4+F20/$G$4)*(1+$I$4)/24)</f>
        <v/>
      </c>
      <c r="H20" s="29" t="n"/>
      <c r="I20" s="28" t="n"/>
      <c r="J20" s="33" t="n"/>
      <c r="K20" s="29" t="n"/>
      <c r="L20" s="34" t="n"/>
      <c r="M20" s="35">
        <f>IF(OR(G20="",L20=""),"",MOD(L20+G20,1))</f>
        <v/>
      </c>
      <c r="N20" s="19">
        <f>IF(D20="","",ROUND(D20+E20/100,1))</f>
        <v/>
      </c>
      <c r="O20" s="36">
        <f>IF(N20="","",IF(N20&gt;=$M$4,"Exigente",IF(N20&gt;=$K$4,"Media","Suave")))</f>
        <v/>
      </c>
      <c r="P20" s="37">
        <f>IF(OR(J20="",K20="Hecha"),"",J20-TODAY())</f>
        <v/>
      </c>
      <c r="Q20" s="17">
        <f>IF(B20="","",COUNTIF(Realizadas!$C$8:$C$47,B20))</f>
        <v/>
      </c>
      <c r="R20" s="17">
        <f>IF(OR(B20="",C20=""),"",IFERROR(INDEX(Material!$E$38:$H$38,MATCH(C20,Material!$E$7:$H$7,0)),""))</f>
        <v/>
      </c>
      <c r="S20" s="17">
        <f>IF(R20="","",IFERROR(INDEX(Material!$E$40:$H$40,MATCH(C20,Material!$E$7:$H$7,0)),""))</f>
        <v/>
      </c>
    </row>
    <row r="21">
      <c r="B21" s="28" t="n"/>
      <c r="C21" s="29" t="n"/>
      <c r="D21" s="30" t="n"/>
      <c r="E21" s="31" t="n"/>
      <c r="F21" s="31" t="n"/>
      <c r="G21" s="32">
        <f>IF(D21="","",(D21/$C$4+E21/$E$4+F21/$G$4)*(1+$I$4)/24)</f>
        <v/>
      </c>
      <c r="H21" s="29" t="n"/>
      <c r="I21" s="28" t="n"/>
      <c r="J21" s="33" t="n"/>
      <c r="K21" s="29" t="n"/>
      <c r="L21" s="34" t="n"/>
      <c r="M21" s="35">
        <f>IF(OR(G21="",L21=""),"",MOD(L21+G21,1))</f>
        <v/>
      </c>
      <c r="N21" s="19">
        <f>IF(D21="","",ROUND(D21+E21/100,1))</f>
        <v/>
      </c>
      <c r="O21" s="36">
        <f>IF(N21="","",IF(N21&gt;=$M$4,"Exigente",IF(N21&gt;=$K$4,"Media","Suave")))</f>
        <v/>
      </c>
      <c r="P21" s="37">
        <f>IF(OR(J21="",K21="Hecha"),"",J21-TODAY())</f>
        <v/>
      </c>
      <c r="Q21" s="17">
        <f>IF(B21="","",COUNTIF(Realizadas!$C$8:$C$47,B21))</f>
        <v/>
      </c>
      <c r="R21" s="17">
        <f>IF(OR(B21="",C21=""),"",IFERROR(INDEX(Material!$E$38:$H$38,MATCH(C21,Material!$E$7:$H$7,0)),""))</f>
        <v/>
      </c>
      <c r="S21" s="17">
        <f>IF(R21="","",IFERROR(INDEX(Material!$E$40:$H$40,MATCH(C21,Material!$E$7:$H$7,0)),""))</f>
        <v/>
      </c>
    </row>
    <row r="22">
      <c r="B22" s="28" t="n"/>
      <c r="C22" s="29" t="n"/>
      <c r="D22" s="30" t="n"/>
      <c r="E22" s="31" t="n"/>
      <c r="F22" s="31" t="n"/>
      <c r="G22" s="32">
        <f>IF(D22="","",(D22/$C$4+E22/$E$4+F22/$G$4)*(1+$I$4)/24)</f>
        <v/>
      </c>
      <c r="H22" s="29" t="n"/>
      <c r="I22" s="28" t="n"/>
      <c r="J22" s="33" t="n"/>
      <c r="K22" s="29" t="n"/>
      <c r="L22" s="34" t="n"/>
      <c r="M22" s="35">
        <f>IF(OR(G22="",L22=""),"",MOD(L22+G22,1))</f>
        <v/>
      </c>
      <c r="N22" s="19">
        <f>IF(D22="","",ROUND(D22+E22/100,1))</f>
        <v/>
      </c>
      <c r="O22" s="36">
        <f>IF(N22="","",IF(N22&gt;=$M$4,"Exigente",IF(N22&gt;=$K$4,"Media","Suave")))</f>
        <v/>
      </c>
      <c r="P22" s="37">
        <f>IF(OR(J22="",K22="Hecha"),"",J22-TODAY())</f>
        <v/>
      </c>
      <c r="Q22" s="17">
        <f>IF(B22="","",COUNTIF(Realizadas!$C$8:$C$47,B22))</f>
        <v/>
      </c>
      <c r="R22" s="17">
        <f>IF(OR(B22="",C22=""),"",IFERROR(INDEX(Material!$E$38:$H$38,MATCH(C22,Material!$E$7:$H$7,0)),""))</f>
        <v/>
      </c>
      <c r="S22" s="17">
        <f>IF(R22="","",IFERROR(INDEX(Material!$E$40:$H$40,MATCH(C22,Material!$E$7:$H$7,0)),""))</f>
        <v/>
      </c>
    </row>
    <row r="23">
      <c r="B23" s="28" t="n"/>
      <c r="C23" s="29" t="n"/>
      <c r="D23" s="30" t="n"/>
      <c r="E23" s="31" t="n"/>
      <c r="F23" s="31" t="n"/>
      <c r="G23" s="32">
        <f>IF(D23="","",(D23/$C$4+E23/$E$4+F23/$G$4)*(1+$I$4)/24)</f>
        <v/>
      </c>
      <c r="H23" s="29" t="n"/>
      <c r="I23" s="28" t="n"/>
      <c r="J23" s="33" t="n"/>
      <c r="K23" s="29" t="n"/>
      <c r="L23" s="34" t="n"/>
      <c r="M23" s="35">
        <f>IF(OR(G23="",L23=""),"",MOD(L23+G23,1))</f>
        <v/>
      </c>
      <c r="N23" s="19">
        <f>IF(D23="","",ROUND(D23+E23/100,1))</f>
        <v/>
      </c>
      <c r="O23" s="36">
        <f>IF(N23="","",IF(N23&gt;=$M$4,"Exigente",IF(N23&gt;=$K$4,"Media","Suave")))</f>
        <v/>
      </c>
      <c r="P23" s="37">
        <f>IF(OR(J23="",K23="Hecha"),"",J23-TODAY())</f>
        <v/>
      </c>
      <c r="Q23" s="17">
        <f>IF(B23="","",COUNTIF(Realizadas!$C$8:$C$47,B23))</f>
        <v/>
      </c>
      <c r="R23" s="17">
        <f>IF(OR(B23="",C23=""),"",IFERROR(INDEX(Material!$E$38:$H$38,MATCH(C23,Material!$E$7:$H$7,0)),""))</f>
        <v/>
      </c>
      <c r="S23" s="17">
        <f>IF(R23="","",IFERROR(INDEX(Material!$E$40:$H$40,MATCH(C23,Material!$E$7:$H$7,0)),""))</f>
        <v/>
      </c>
    </row>
    <row r="24">
      <c r="B24" s="28" t="n"/>
      <c r="C24" s="29" t="n"/>
      <c r="D24" s="30" t="n"/>
      <c r="E24" s="31" t="n"/>
      <c r="F24" s="31" t="n"/>
      <c r="G24" s="32">
        <f>IF(D24="","",(D24/$C$4+E24/$E$4+F24/$G$4)*(1+$I$4)/24)</f>
        <v/>
      </c>
      <c r="H24" s="29" t="n"/>
      <c r="I24" s="28" t="n"/>
      <c r="J24" s="33" t="n"/>
      <c r="K24" s="29" t="n"/>
      <c r="L24" s="34" t="n"/>
      <c r="M24" s="35">
        <f>IF(OR(G24="",L24=""),"",MOD(L24+G24,1))</f>
        <v/>
      </c>
      <c r="N24" s="19">
        <f>IF(D24="","",ROUND(D24+E24/100,1))</f>
        <v/>
      </c>
      <c r="O24" s="36">
        <f>IF(N24="","",IF(N24&gt;=$M$4,"Exigente",IF(N24&gt;=$K$4,"Media","Suave")))</f>
        <v/>
      </c>
      <c r="P24" s="37">
        <f>IF(OR(J24="",K24="Hecha"),"",J24-TODAY())</f>
        <v/>
      </c>
      <c r="Q24" s="17">
        <f>IF(B24="","",COUNTIF(Realizadas!$C$8:$C$47,B24))</f>
        <v/>
      </c>
      <c r="R24" s="17">
        <f>IF(OR(B24="",C24=""),"",IFERROR(INDEX(Material!$E$38:$H$38,MATCH(C24,Material!$E$7:$H$7,0)),""))</f>
        <v/>
      </c>
      <c r="S24" s="17">
        <f>IF(R24="","",IFERROR(INDEX(Material!$E$40:$H$40,MATCH(C24,Material!$E$7:$H$7,0)),""))</f>
        <v/>
      </c>
    </row>
    <row r="25">
      <c r="B25" s="28" t="n"/>
      <c r="C25" s="29" t="n"/>
      <c r="D25" s="30" t="n"/>
      <c r="E25" s="31" t="n"/>
      <c r="F25" s="31" t="n"/>
      <c r="G25" s="32">
        <f>IF(D25="","",(D25/$C$4+E25/$E$4+F25/$G$4)*(1+$I$4)/24)</f>
        <v/>
      </c>
      <c r="H25" s="29" t="n"/>
      <c r="I25" s="28" t="n"/>
      <c r="J25" s="33" t="n"/>
      <c r="K25" s="29" t="n"/>
      <c r="L25" s="34" t="n"/>
      <c r="M25" s="35">
        <f>IF(OR(G25="",L25=""),"",MOD(L25+G25,1))</f>
        <v/>
      </c>
      <c r="N25" s="19">
        <f>IF(D25="","",ROUND(D25+E25/100,1))</f>
        <v/>
      </c>
      <c r="O25" s="36">
        <f>IF(N25="","",IF(N25&gt;=$M$4,"Exigente",IF(N25&gt;=$K$4,"Media","Suave")))</f>
        <v/>
      </c>
      <c r="P25" s="37">
        <f>IF(OR(J25="",K25="Hecha"),"",J25-TODAY())</f>
        <v/>
      </c>
      <c r="Q25" s="17">
        <f>IF(B25="","",COUNTIF(Realizadas!$C$8:$C$47,B25))</f>
        <v/>
      </c>
      <c r="R25" s="17">
        <f>IF(OR(B25="",C25=""),"",IFERROR(INDEX(Material!$E$38:$H$38,MATCH(C25,Material!$E$7:$H$7,0)),""))</f>
        <v/>
      </c>
      <c r="S25" s="17">
        <f>IF(R25="","",IFERROR(INDEX(Material!$E$40:$H$40,MATCH(C25,Material!$E$7:$H$7,0)),""))</f>
        <v/>
      </c>
    </row>
    <row r="26">
      <c r="B26" s="28" t="n"/>
      <c r="C26" s="29" t="n"/>
      <c r="D26" s="30" t="n"/>
      <c r="E26" s="31" t="n"/>
      <c r="F26" s="31" t="n"/>
      <c r="G26" s="32">
        <f>IF(D26="","",(D26/$C$4+E26/$E$4+F26/$G$4)*(1+$I$4)/24)</f>
        <v/>
      </c>
      <c r="H26" s="29" t="n"/>
      <c r="I26" s="28" t="n"/>
      <c r="J26" s="33" t="n"/>
      <c r="K26" s="29" t="n"/>
      <c r="L26" s="34" t="n"/>
      <c r="M26" s="35">
        <f>IF(OR(G26="",L26=""),"",MOD(L26+G26,1))</f>
        <v/>
      </c>
      <c r="N26" s="19">
        <f>IF(D26="","",ROUND(D26+E26/100,1))</f>
        <v/>
      </c>
      <c r="O26" s="36">
        <f>IF(N26="","",IF(N26&gt;=$M$4,"Exigente",IF(N26&gt;=$K$4,"Media","Suave")))</f>
        <v/>
      </c>
      <c r="P26" s="37">
        <f>IF(OR(J26="",K26="Hecha"),"",J26-TODAY())</f>
        <v/>
      </c>
      <c r="Q26" s="17">
        <f>IF(B26="","",COUNTIF(Realizadas!$C$8:$C$47,B26))</f>
        <v/>
      </c>
      <c r="R26" s="17">
        <f>IF(OR(B26="",C26=""),"",IFERROR(INDEX(Material!$E$38:$H$38,MATCH(C26,Material!$E$7:$H$7,0)),""))</f>
        <v/>
      </c>
      <c r="S26" s="17">
        <f>IF(R26="","",IFERROR(INDEX(Material!$E$40:$H$40,MATCH(C26,Material!$E$7:$H$7,0)),""))</f>
        <v/>
      </c>
    </row>
    <row r="27">
      <c r="B27" s="28" t="n"/>
      <c r="C27" s="29" t="n"/>
      <c r="D27" s="30" t="n"/>
      <c r="E27" s="31" t="n"/>
      <c r="F27" s="31" t="n"/>
      <c r="G27" s="32">
        <f>IF(D27="","",(D27/$C$4+E27/$E$4+F27/$G$4)*(1+$I$4)/24)</f>
        <v/>
      </c>
      <c r="H27" s="29" t="n"/>
      <c r="I27" s="28" t="n"/>
      <c r="J27" s="33" t="n"/>
      <c r="K27" s="29" t="n"/>
      <c r="L27" s="34" t="n"/>
      <c r="M27" s="35">
        <f>IF(OR(G27="",L27=""),"",MOD(L27+G27,1))</f>
        <v/>
      </c>
      <c r="N27" s="19">
        <f>IF(D27="","",ROUND(D27+E27/100,1))</f>
        <v/>
      </c>
      <c r="O27" s="36">
        <f>IF(N27="","",IF(N27&gt;=$M$4,"Exigente",IF(N27&gt;=$K$4,"Media","Suave")))</f>
        <v/>
      </c>
      <c r="P27" s="37">
        <f>IF(OR(J27="",K27="Hecha"),"",J27-TODAY())</f>
        <v/>
      </c>
      <c r="Q27" s="17">
        <f>IF(B27="","",COUNTIF(Realizadas!$C$8:$C$47,B27))</f>
        <v/>
      </c>
      <c r="R27" s="17">
        <f>IF(OR(B27="",C27=""),"",IFERROR(INDEX(Material!$E$38:$H$38,MATCH(C27,Material!$E$7:$H$7,0)),""))</f>
        <v/>
      </c>
      <c r="S27" s="17">
        <f>IF(R27="","",IFERROR(INDEX(Material!$E$40:$H$40,MATCH(C27,Material!$E$7:$H$7,0)),""))</f>
        <v/>
      </c>
    </row>
    <row r="28">
      <c r="B28" s="28" t="n"/>
      <c r="C28" s="29" t="n"/>
      <c r="D28" s="30" t="n"/>
      <c r="E28" s="31" t="n"/>
      <c r="F28" s="31" t="n"/>
      <c r="G28" s="32">
        <f>IF(D28="","",(D28/$C$4+E28/$E$4+F28/$G$4)*(1+$I$4)/24)</f>
        <v/>
      </c>
      <c r="H28" s="29" t="n"/>
      <c r="I28" s="28" t="n"/>
      <c r="J28" s="33" t="n"/>
      <c r="K28" s="29" t="n"/>
      <c r="L28" s="34" t="n"/>
      <c r="M28" s="35">
        <f>IF(OR(G28="",L28=""),"",MOD(L28+G28,1))</f>
        <v/>
      </c>
      <c r="N28" s="19">
        <f>IF(D28="","",ROUND(D28+E28/100,1))</f>
        <v/>
      </c>
      <c r="O28" s="36">
        <f>IF(N28="","",IF(N28&gt;=$M$4,"Exigente",IF(N28&gt;=$K$4,"Media","Suave")))</f>
        <v/>
      </c>
      <c r="P28" s="37">
        <f>IF(OR(J28="",K28="Hecha"),"",J28-TODAY())</f>
        <v/>
      </c>
      <c r="Q28" s="17">
        <f>IF(B28="","",COUNTIF(Realizadas!$C$8:$C$47,B28))</f>
        <v/>
      </c>
      <c r="R28" s="17">
        <f>IF(OR(B28="",C28=""),"",IFERROR(INDEX(Material!$E$38:$H$38,MATCH(C28,Material!$E$7:$H$7,0)),""))</f>
        <v/>
      </c>
      <c r="S28" s="17">
        <f>IF(R28="","",IFERROR(INDEX(Material!$E$40:$H$40,MATCH(C28,Material!$E$7:$H$7,0)),""))</f>
        <v/>
      </c>
    </row>
    <row r="29">
      <c r="B29" s="28" t="n"/>
      <c r="C29" s="29" t="n"/>
      <c r="D29" s="30" t="n"/>
      <c r="E29" s="31" t="n"/>
      <c r="F29" s="31" t="n"/>
      <c r="G29" s="32">
        <f>IF(D29="","",(D29/$C$4+E29/$E$4+F29/$G$4)*(1+$I$4)/24)</f>
        <v/>
      </c>
      <c r="H29" s="29" t="n"/>
      <c r="I29" s="28" t="n"/>
      <c r="J29" s="33" t="n"/>
      <c r="K29" s="29" t="n"/>
      <c r="L29" s="34" t="n"/>
      <c r="M29" s="35">
        <f>IF(OR(G29="",L29=""),"",MOD(L29+G29,1))</f>
        <v/>
      </c>
      <c r="N29" s="19">
        <f>IF(D29="","",ROUND(D29+E29/100,1))</f>
        <v/>
      </c>
      <c r="O29" s="36">
        <f>IF(N29="","",IF(N29&gt;=$M$4,"Exigente",IF(N29&gt;=$K$4,"Media","Suave")))</f>
        <v/>
      </c>
      <c r="P29" s="37">
        <f>IF(OR(J29="",K29="Hecha"),"",J29-TODAY())</f>
        <v/>
      </c>
      <c r="Q29" s="17">
        <f>IF(B29="","",COUNTIF(Realizadas!$C$8:$C$47,B29))</f>
        <v/>
      </c>
      <c r="R29" s="17">
        <f>IF(OR(B29="",C29=""),"",IFERROR(INDEX(Material!$E$38:$H$38,MATCH(C29,Material!$E$7:$H$7,0)),""))</f>
        <v/>
      </c>
      <c r="S29" s="17">
        <f>IF(R29="","",IFERROR(INDEX(Material!$E$40:$H$40,MATCH(C29,Material!$E$7:$H$7,0)),""))</f>
        <v/>
      </c>
    </row>
    <row r="30">
      <c r="B30" s="28" t="n"/>
      <c r="C30" s="29" t="n"/>
      <c r="D30" s="30" t="n"/>
      <c r="E30" s="31" t="n"/>
      <c r="F30" s="31" t="n"/>
      <c r="G30" s="32">
        <f>IF(D30="","",(D30/$C$4+E30/$E$4+F30/$G$4)*(1+$I$4)/24)</f>
        <v/>
      </c>
      <c r="H30" s="29" t="n"/>
      <c r="I30" s="28" t="n"/>
      <c r="J30" s="33" t="n"/>
      <c r="K30" s="29" t="n"/>
      <c r="L30" s="34" t="n"/>
      <c r="M30" s="35">
        <f>IF(OR(G30="",L30=""),"",MOD(L30+G30,1))</f>
        <v/>
      </c>
      <c r="N30" s="19">
        <f>IF(D30="","",ROUND(D30+E30/100,1))</f>
        <v/>
      </c>
      <c r="O30" s="36">
        <f>IF(N30="","",IF(N30&gt;=$M$4,"Exigente",IF(N30&gt;=$K$4,"Media","Suave")))</f>
        <v/>
      </c>
      <c r="P30" s="37">
        <f>IF(OR(J30="",K30="Hecha"),"",J30-TODAY())</f>
        <v/>
      </c>
      <c r="Q30" s="17">
        <f>IF(B30="","",COUNTIF(Realizadas!$C$8:$C$47,B30))</f>
        <v/>
      </c>
      <c r="R30" s="17">
        <f>IF(OR(B30="",C30=""),"",IFERROR(INDEX(Material!$E$38:$H$38,MATCH(C30,Material!$E$7:$H$7,0)),""))</f>
        <v/>
      </c>
      <c r="S30" s="17">
        <f>IF(R30="","",IFERROR(INDEX(Material!$E$40:$H$40,MATCH(C30,Material!$E$7:$H$7,0)),""))</f>
        <v/>
      </c>
    </row>
    <row r="31">
      <c r="B31" s="28" t="n"/>
      <c r="C31" s="29" t="n"/>
      <c r="D31" s="30" t="n"/>
      <c r="E31" s="31" t="n"/>
      <c r="F31" s="31" t="n"/>
      <c r="G31" s="32">
        <f>IF(D31="","",(D31/$C$4+E31/$E$4+F31/$G$4)*(1+$I$4)/24)</f>
        <v/>
      </c>
      <c r="H31" s="29" t="n"/>
      <c r="I31" s="28" t="n"/>
      <c r="J31" s="33" t="n"/>
      <c r="K31" s="29" t="n"/>
      <c r="L31" s="34" t="n"/>
      <c r="M31" s="35">
        <f>IF(OR(G31="",L31=""),"",MOD(L31+G31,1))</f>
        <v/>
      </c>
      <c r="N31" s="19">
        <f>IF(D31="","",ROUND(D31+E31/100,1))</f>
        <v/>
      </c>
      <c r="O31" s="36">
        <f>IF(N31="","",IF(N31&gt;=$M$4,"Exigente",IF(N31&gt;=$K$4,"Media","Suave")))</f>
        <v/>
      </c>
      <c r="P31" s="37">
        <f>IF(OR(J31="",K31="Hecha"),"",J31-TODAY())</f>
        <v/>
      </c>
      <c r="Q31" s="17">
        <f>IF(B31="","",COUNTIF(Realizadas!$C$8:$C$47,B31))</f>
        <v/>
      </c>
      <c r="R31" s="17">
        <f>IF(OR(B31="",C31=""),"",IFERROR(INDEX(Material!$E$38:$H$38,MATCH(C31,Material!$E$7:$H$7,0)),""))</f>
        <v/>
      </c>
      <c r="S31" s="17">
        <f>IF(R31="","",IFERROR(INDEX(Material!$E$40:$H$40,MATCH(C31,Material!$E$7:$H$7,0)),""))</f>
        <v/>
      </c>
    </row>
    <row r="32">
      <c r="B32" s="28" t="n"/>
      <c r="C32" s="29" t="n"/>
      <c r="D32" s="30" t="n"/>
      <c r="E32" s="31" t="n"/>
      <c r="F32" s="31" t="n"/>
      <c r="G32" s="32">
        <f>IF(D32="","",(D32/$C$4+E32/$E$4+F32/$G$4)*(1+$I$4)/24)</f>
        <v/>
      </c>
      <c r="H32" s="29" t="n"/>
      <c r="I32" s="28" t="n"/>
      <c r="J32" s="33" t="n"/>
      <c r="K32" s="29" t="n"/>
      <c r="L32" s="34" t="n"/>
      <c r="M32" s="35">
        <f>IF(OR(G32="",L32=""),"",MOD(L32+G32,1))</f>
        <v/>
      </c>
      <c r="N32" s="19">
        <f>IF(D32="","",ROUND(D32+E32/100,1))</f>
        <v/>
      </c>
      <c r="O32" s="36">
        <f>IF(N32="","",IF(N32&gt;=$M$4,"Exigente",IF(N32&gt;=$K$4,"Media","Suave")))</f>
        <v/>
      </c>
      <c r="P32" s="37">
        <f>IF(OR(J32="",K32="Hecha"),"",J32-TODAY())</f>
        <v/>
      </c>
      <c r="Q32" s="17">
        <f>IF(B32="","",COUNTIF(Realizadas!$C$8:$C$47,B32))</f>
        <v/>
      </c>
      <c r="R32" s="17">
        <f>IF(OR(B32="",C32=""),"",IFERROR(INDEX(Material!$E$38:$H$38,MATCH(C32,Material!$E$7:$H$7,0)),""))</f>
        <v/>
      </c>
      <c r="S32" s="17">
        <f>IF(R32="","",IFERROR(INDEX(Material!$E$40:$H$40,MATCH(C32,Material!$E$7:$H$7,0)),""))</f>
        <v/>
      </c>
    </row>
    <row r="33">
      <c r="B33" s="28" t="n"/>
      <c r="C33" s="29" t="n"/>
      <c r="D33" s="30" t="n"/>
      <c r="E33" s="31" t="n"/>
      <c r="F33" s="31" t="n"/>
      <c r="G33" s="32">
        <f>IF(D33="","",(D33/$C$4+E33/$E$4+F33/$G$4)*(1+$I$4)/24)</f>
        <v/>
      </c>
      <c r="H33" s="29" t="n"/>
      <c r="I33" s="28" t="n"/>
      <c r="J33" s="33" t="n"/>
      <c r="K33" s="29" t="n"/>
      <c r="L33" s="34" t="n"/>
      <c r="M33" s="35">
        <f>IF(OR(G33="",L33=""),"",MOD(L33+G33,1))</f>
        <v/>
      </c>
      <c r="N33" s="19">
        <f>IF(D33="","",ROUND(D33+E33/100,1))</f>
        <v/>
      </c>
      <c r="O33" s="36">
        <f>IF(N33="","",IF(N33&gt;=$M$4,"Exigente",IF(N33&gt;=$K$4,"Media","Suave")))</f>
        <v/>
      </c>
      <c r="P33" s="37">
        <f>IF(OR(J33="",K33="Hecha"),"",J33-TODAY())</f>
        <v/>
      </c>
      <c r="Q33" s="17">
        <f>IF(B33="","",COUNTIF(Realizadas!$C$8:$C$47,B33))</f>
        <v/>
      </c>
      <c r="R33" s="17">
        <f>IF(OR(B33="",C33=""),"",IFERROR(INDEX(Material!$E$38:$H$38,MATCH(C33,Material!$E$7:$H$7,0)),""))</f>
        <v/>
      </c>
      <c r="S33" s="17">
        <f>IF(R33="","",IFERROR(INDEX(Material!$E$40:$H$40,MATCH(C33,Material!$E$7:$H$7,0)),""))</f>
        <v/>
      </c>
    </row>
    <row r="34">
      <c r="B34" s="28" t="n"/>
      <c r="C34" s="29" t="n"/>
      <c r="D34" s="30" t="n"/>
      <c r="E34" s="31" t="n"/>
      <c r="F34" s="31" t="n"/>
      <c r="G34" s="32">
        <f>IF(D34="","",(D34/$C$4+E34/$E$4+F34/$G$4)*(1+$I$4)/24)</f>
        <v/>
      </c>
      <c r="H34" s="29" t="n"/>
      <c r="I34" s="28" t="n"/>
      <c r="J34" s="33" t="n"/>
      <c r="K34" s="29" t="n"/>
      <c r="L34" s="34" t="n"/>
      <c r="M34" s="35">
        <f>IF(OR(G34="",L34=""),"",MOD(L34+G34,1))</f>
        <v/>
      </c>
      <c r="N34" s="19">
        <f>IF(D34="","",ROUND(D34+E34/100,1))</f>
        <v/>
      </c>
      <c r="O34" s="36">
        <f>IF(N34="","",IF(N34&gt;=$M$4,"Exigente",IF(N34&gt;=$K$4,"Media","Suave")))</f>
        <v/>
      </c>
      <c r="P34" s="37">
        <f>IF(OR(J34="",K34="Hecha"),"",J34-TODAY())</f>
        <v/>
      </c>
      <c r="Q34" s="17">
        <f>IF(B34="","",COUNTIF(Realizadas!$C$8:$C$47,B34))</f>
        <v/>
      </c>
      <c r="R34" s="17">
        <f>IF(OR(B34="",C34=""),"",IFERROR(INDEX(Material!$E$38:$H$38,MATCH(C34,Material!$E$7:$H$7,0)),""))</f>
        <v/>
      </c>
      <c r="S34" s="17">
        <f>IF(R34="","",IFERROR(INDEX(Material!$E$40:$H$40,MATCH(C34,Material!$E$7:$H$7,0)),""))</f>
        <v/>
      </c>
    </row>
    <row r="35">
      <c r="B35" s="28" t="n"/>
      <c r="C35" s="29" t="n"/>
      <c r="D35" s="30" t="n"/>
      <c r="E35" s="31" t="n"/>
      <c r="F35" s="31" t="n"/>
      <c r="G35" s="32">
        <f>IF(D35="","",(D35/$C$4+E35/$E$4+F35/$G$4)*(1+$I$4)/24)</f>
        <v/>
      </c>
      <c r="H35" s="29" t="n"/>
      <c r="I35" s="28" t="n"/>
      <c r="J35" s="33" t="n"/>
      <c r="K35" s="29" t="n"/>
      <c r="L35" s="34" t="n"/>
      <c r="M35" s="35">
        <f>IF(OR(G35="",L35=""),"",MOD(L35+G35,1))</f>
        <v/>
      </c>
      <c r="N35" s="19">
        <f>IF(D35="","",ROUND(D35+E35/100,1))</f>
        <v/>
      </c>
      <c r="O35" s="36">
        <f>IF(N35="","",IF(N35&gt;=$M$4,"Exigente",IF(N35&gt;=$K$4,"Media","Suave")))</f>
        <v/>
      </c>
      <c r="P35" s="37">
        <f>IF(OR(J35="",K35="Hecha"),"",J35-TODAY())</f>
        <v/>
      </c>
      <c r="Q35" s="17">
        <f>IF(B35="","",COUNTIF(Realizadas!$C$8:$C$47,B35))</f>
        <v/>
      </c>
      <c r="R35" s="17">
        <f>IF(OR(B35="",C35=""),"",IFERROR(INDEX(Material!$E$38:$H$38,MATCH(C35,Material!$E$7:$H$7,0)),""))</f>
        <v/>
      </c>
      <c r="S35" s="17">
        <f>IF(R35="","",IFERROR(INDEX(Material!$E$40:$H$40,MATCH(C35,Material!$E$7:$H$7,0)),""))</f>
        <v/>
      </c>
    </row>
    <row r="36">
      <c r="B36" s="28" t="n"/>
      <c r="C36" s="29" t="n"/>
      <c r="D36" s="30" t="n"/>
      <c r="E36" s="31" t="n"/>
      <c r="F36" s="31" t="n"/>
      <c r="G36" s="32">
        <f>IF(D36="","",(D36/$C$4+E36/$E$4+F36/$G$4)*(1+$I$4)/24)</f>
        <v/>
      </c>
      <c r="H36" s="29" t="n"/>
      <c r="I36" s="28" t="n"/>
      <c r="J36" s="33" t="n"/>
      <c r="K36" s="29" t="n"/>
      <c r="L36" s="34" t="n"/>
      <c r="M36" s="35">
        <f>IF(OR(G36="",L36=""),"",MOD(L36+G36,1))</f>
        <v/>
      </c>
      <c r="N36" s="19">
        <f>IF(D36="","",ROUND(D36+E36/100,1))</f>
        <v/>
      </c>
      <c r="O36" s="36">
        <f>IF(N36="","",IF(N36&gt;=$M$4,"Exigente",IF(N36&gt;=$K$4,"Media","Suave")))</f>
        <v/>
      </c>
      <c r="P36" s="37">
        <f>IF(OR(J36="",K36="Hecha"),"",J36-TODAY())</f>
        <v/>
      </c>
      <c r="Q36" s="17">
        <f>IF(B36="","",COUNTIF(Realizadas!$C$8:$C$47,B36))</f>
        <v/>
      </c>
      <c r="R36" s="17">
        <f>IF(OR(B36="",C36=""),"",IFERROR(INDEX(Material!$E$38:$H$38,MATCH(C36,Material!$E$7:$H$7,0)),""))</f>
        <v/>
      </c>
      <c r="S36" s="17">
        <f>IF(R36="","",IFERROR(INDEX(Material!$E$40:$H$40,MATCH(C36,Material!$E$7:$H$7,0)),""))</f>
        <v/>
      </c>
    </row>
    <row r="37">
      <c r="B37" s="28" t="n"/>
      <c r="C37" s="29" t="n"/>
      <c r="D37" s="30" t="n"/>
      <c r="E37" s="31" t="n"/>
      <c r="F37" s="31" t="n"/>
      <c r="G37" s="32">
        <f>IF(D37="","",(D37/$C$4+E37/$E$4+F37/$G$4)*(1+$I$4)/24)</f>
        <v/>
      </c>
      <c r="H37" s="29" t="n"/>
      <c r="I37" s="28" t="n"/>
      <c r="J37" s="33" t="n"/>
      <c r="K37" s="29" t="n"/>
      <c r="L37" s="34" t="n"/>
      <c r="M37" s="35">
        <f>IF(OR(G37="",L37=""),"",MOD(L37+G37,1))</f>
        <v/>
      </c>
      <c r="N37" s="19">
        <f>IF(D37="","",ROUND(D37+E37/100,1))</f>
        <v/>
      </c>
      <c r="O37" s="36">
        <f>IF(N37="","",IF(N37&gt;=$M$4,"Exigente",IF(N37&gt;=$K$4,"Media","Suave")))</f>
        <v/>
      </c>
      <c r="P37" s="37">
        <f>IF(OR(J37="",K37="Hecha"),"",J37-TODAY())</f>
        <v/>
      </c>
      <c r="Q37" s="17">
        <f>IF(B37="","",COUNTIF(Realizadas!$C$8:$C$47,B37))</f>
        <v/>
      </c>
      <c r="R37" s="17">
        <f>IF(OR(B37="",C37=""),"",IFERROR(INDEX(Material!$E$38:$H$38,MATCH(C37,Material!$E$7:$H$7,0)),""))</f>
        <v/>
      </c>
      <c r="S37" s="17">
        <f>IF(R37="","",IFERROR(INDEX(Material!$E$40:$H$40,MATCH(C37,Material!$E$7:$H$7,0)),""))</f>
        <v/>
      </c>
    </row>
    <row r="38">
      <c r="B38" s="28" t="n"/>
      <c r="C38" s="29" t="n"/>
      <c r="D38" s="30" t="n"/>
      <c r="E38" s="31" t="n"/>
      <c r="F38" s="31" t="n"/>
      <c r="G38" s="32">
        <f>IF(D38="","",(D38/$C$4+E38/$E$4+F38/$G$4)*(1+$I$4)/24)</f>
        <v/>
      </c>
      <c r="H38" s="29" t="n"/>
      <c r="I38" s="28" t="n"/>
      <c r="J38" s="33" t="n"/>
      <c r="K38" s="29" t="n"/>
      <c r="L38" s="34" t="n"/>
      <c r="M38" s="35">
        <f>IF(OR(G38="",L38=""),"",MOD(L38+G38,1))</f>
        <v/>
      </c>
      <c r="N38" s="19">
        <f>IF(D38="","",ROUND(D38+E38/100,1))</f>
        <v/>
      </c>
      <c r="O38" s="36">
        <f>IF(N38="","",IF(N38&gt;=$M$4,"Exigente",IF(N38&gt;=$K$4,"Media","Suave")))</f>
        <v/>
      </c>
      <c r="P38" s="37">
        <f>IF(OR(J38="",K38="Hecha"),"",J38-TODAY())</f>
        <v/>
      </c>
      <c r="Q38" s="17">
        <f>IF(B38="","",COUNTIF(Realizadas!$C$8:$C$47,B38))</f>
        <v/>
      </c>
      <c r="R38" s="17">
        <f>IF(OR(B38="",C38=""),"",IFERROR(INDEX(Material!$E$38:$H$38,MATCH(C38,Material!$E$7:$H$7,0)),""))</f>
        <v/>
      </c>
      <c r="S38" s="17">
        <f>IF(R38="","",IFERROR(INDEX(Material!$E$40:$H$40,MATCH(C38,Material!$E$7:$H$7,0)),""))</f>
        <v/>
      </c>
    </row>
    <row r="39">
      <c r="B39" s="28" t="n"/>
      <c r="C39" s="29" t="n"/>
      <c r="D39" s="30" t="n"/>
      <c r="E39" s="31" t="n"/>
      <c r="F39" s="31" t="n"/>
      <c r="G39" s="32">
        <f>IF(D39="","",(D39/$C$4+E39/$E$4+F39/$G$4)*(1+$I$4)/24)</f>
        <v/>
      </c>
      <c r="H39" s="29" t="n"/>
      <c r="I39" s="28" t="n"/>
      <c r="J39" s="33" t="n"/>
      <c r="K39" s="29" t="n"/>
      <c r="L39" s="34" t="n"/>
      <c r="M39" s="35">
        <f>IF(OR(G39="",L39=""),"",MOD(L39+G39,1))</f>
        <v/>
      </c>
      <c r="N39" s="19">
        <f>IF(D39="","",ROUND(D39+E39/100,1))</f>
        <v/>
      </c>
      <c r="O39" s="36">
        <f>IF(N39="","",IF(N39&gt;=$M$4,"Exigente",IF(N39&gt;=$K$4,"Media","Suave")))</f>
        <v/>
      </c>
      <c r="P39" s="37">
        <f>IF(OR(J39="",K39="Hecha"),"",J39-TODAY())</f>
        <v/>
      </c>
      <c r="Q39" s="17">
        <f>IF(B39="","",COUNTIF(Realizadas!$C$8:$C$47,B39))</f>
        <v/>
      </c>
      <c r="R39" s="17">
        <f>IF(OR(B39="",C39=""),"",IFERROR(INDEX(Material!$E$38:$H$38,MATCH(C39,Material!$E$7:$H$7,0)),""))</f>
        <v/>
      </c>
      <c r="S39" s="17">
        <f>IF(R39="","",IFERROR(INDEX(Material!$E$40:$H$40,MATCH(C39,Material!$E$7:$H$7,0)),""))</f>
        <v/>
      </c>
    </row>
    <row r="40">
      <c r="B40" s="28" t="n"/>
      <c r="C40" s="29" t="n"/>
      <c r="D40" s="30" t="n"/>
      <c r="E40" s="31" t="n"/>
      <c r="F40" s="31" t="n"/>
      <c r="G40" s="32">
        <f>IF(D40="","",(D40/$C$4+E40/$E$4+F40/$G$4)*(1+$I$4)/24)</f>
        <v/>
      </c>
      <c r="H40" s="29" t="n"/>
      <c r="I40" s="28" t="n"/>
      <c r="J40" s="33" t="n"/>
      <c r="K40" s="29" t="n"/>
      <c r="L40" s="34" t="n"/>
      <c r="M40" s="35">
        <f>IF(OR(G40="",L40=""),"",MOD(L40+G40,1))</f>
        <v/>
      </c>
      <c r="N40" s="19">
        <f>IF(D40="","",ROUND(D40+E40/100,1))</f>
        <v/>
      </c>
      <c r="O40" s="36">
        <f>IF(N40="","",IF(N40&gt;=$M$4,"Exigente",IF(N40&gt;=$K$4,"Media","Suave")))</f>
        <v/>
      </c>
      <c r="P40" s="37">
        <f>IF(OR(J40="",K40="Hecha"),"",J40-TODAY())</f>
        <v/>
      </c>
      <c r="Q40" s="17">
        <f>IF(B40="","",COUNTIF(Realizadas!$C$8:$C$47,B40))</f>
        <v/>
      </c>
      <c r="R40" s="17">
        <f>IF(OR(B40="",C40=""),"",IFERROR(INDEX(Material!$E$38:$H$38,MATCH(C40,Material!$E$7:$H$7,0)),""))</f>
        <v/>
      </c>
      <c r="S40" s="17">
        <f>IF(R40="","",IFERROR(INDEX(Material!$E$40:$H$40,MATCH(C40,Material!$E$7:$H$7,0)),""))</f>
        <v/>
      </c>
    </row>
    <row r="41">
      <c r="B41" s="28" t="n"/>
      <c r="C41" s="29" t="n"/>
      <c r="D41" s="30" t="n"/>
      <c r="E41" s="31" t="n"/>
      <c r="F41" s="31" t="n"/>
      <c r="G41" s="32">
        <f>IF(D41="","",(D41/$C$4+E41/$E$4+F41/$G$4)*(1+$I$4)/24)</f>
        <v/>
      </c>
      <c r="H41" s="29" t="n"/>
      <c r="I41" s="28" t="n"/>
      <c r="J41" s="33" t="n"/>
      <c r="K41" s="29" t="n"/>
      <c r="L41" s="34" t="n"/>
      <c r="M41" s="35">
        <f>IF(OR(G41="",L41=""),"",MOD(L41+G41,1))</f>
        <v/>
      </c>
      <c r="N41" s="19">
        <f>IF(D41="","",ROUND(D41+E41/100,1))</f>
        <v/>
      </c>
      <c r="O41" s="36">
        <f>IF(N41="","",IF(N41&gt;=$M$4,"Exigente",IF(N41&gt;=$K$4,"Media","Suave")))</f>
        <v/>
      </c>
      <c r="P41" s="37">
        <f>IF(OR(J41="",K41="Hecha"),"",J41-TODAY())</f>
        <v/>
      </c>
      <c r="Q41" s="17">
        <f>IF(B41="","",COUNTIF(Realizadas!$C$8:$C$47,B41))</f>
        <v/>
      </c>
      <c r="R41" s="17">
        <f>IF(OR(B41="",C41=""),"",IFERROR(INDEX(Material!$E$38:$H$38,MATCH(C41,Material!$E$7:$H$7,0)),""))</f>
        <v/>
      </c>
      <c r="S41" s="17">
        <f>IF(R41="","",IFERROR(INDEX(Material!$E$40:$H$40,MATCH(C41,Material!$E$7:$H$7,0)),""))</f>
        <v/>
      </c>
    </row>
    <row r="42">
      <c r="B42" s="28" t="n"/>
      <c r="C42" s="29" t="n"/>
      <c r="D42" s="30" t="n"/>
      <c r="E42" s="31" t="n"/>
      <c r="F42" s="31" t="n"/>
      <c r="G42" s="32">
        <f>IF(D42="","",(D42/$C$4+E42/$E$4+F42/$G$4)*(1+$I$4)/24)</f>
        <v/>
      </c>
      <c r="H42" s="29" t="n"/>
      <c r="I42" s="28" t="n"/>
      <c r="J42" s="33" t="n"/>
      <c r="K42" s="29" t="n"/>
      <c r="L42" s="34" t="n"/>
      <c r="M42" s="35">
        <f>IF(OR(G42="",L42=""),"",MOD(L42+G42,1))</f>
        <v/>
      </c>
      <c r="N42" s="19">
        <f>IF(D42="","",ROUND(D42+E42/100,1))</f>
        <v/>
      </c>
      <c r="O42" s="36">
        <f>IF(N42="","",IF(N42&gt;=$M$4,"Exigente",IF(N42&gt;=$K$4,"Media","Suave")))</f>
        <v/>
      </c>
      <c r="P42" s="37">
        <f>IF(OR(J42="",K42="Hecha"),"",J42-TODAY())</f>
        <v/>
      </c>
      <c r="Q42" s="17">
        <f>IF(B42="","",COUNTIF(Realizadas!$C$8:$C$47,B42))</f>
        <v/>
      </c>
      <c r="R42" s="17">
        <f>IF(OR(B42="",C42=""),"",IFERROR(INDEX(Material!$E$38:$H$38,MATCH(C42,Material!$E$7:$H$7,0)),""))</f>
        <v/>
      </c>
      <c r="S42" s="17">
        <f>IF(R42="","",IFERROR(INDEX(Material!$E$40:$H$40,MATCH(C42,Material!$E$7:$H$7,0)),""))</f>
        <v/>
      </c>
    </row>
    <row r="43">
      <c r="B43" s="28" t="n"/>
      <c r="C43" s="29" t="n"/>
      <c r="D43" s="30" t="n"/>
      <c r="E43" s="31" t="n"/>
      <c r="F43" s="31" t="n"/>
      <c r="G43" s="32">
        <f>IF(D43="","",(D43/$C$4+E43/$E$4+F43/$G$4)*(1+$I$4)/24)</f>
        <v/>
      </c>
      <c r="H43" s="29" t="n"/>
      <c r="I43" s="28" t="n"/>
      <c r="J43" s="33" t="n"/>
      <c r="K43" s="29" t="n"/>
      <c r="L43" s="34" t="n"/>
      <c r="M43" s="35">
        <f>IF(OR(G43="",L43=""),"",MOD(L43+G43,1))</f>
        <v/>
      </c>
      <c r="N43" s="19">
        <f>IF(D43="","",ROUND(D43+E43/100,1))</f>
        <v/>
      </c>
      <c r="O43" s="36">
        <f>IF(N43="","",IF(N43&gt;=$M$4,"Exigente",IF(N43&gt;=$K$4,"Media","Suave")))</f>
        <v/>
      </c>
      <c r="P43" s="37">
        <f>IF(OR(J43="",K43="Hecha"),"",J43-TODAY())</f>
        <v/>
      </c>
      <c r="Q43" s="17">
        <f>IF(B43="","",COUNTIF(Realizadas!$C$8:$C$47,B43))</f>
        <v/>
      </c>
      <c r="R43" s="17">
        <f>IF(OR(B43="",C43=""),"",IFERROR(INDEX(Material!$E$38:$H$38,MATCH(C43,Material!$E$7:$H$7,0)),""))</f>
        <v/>
      </c>
      <c r="S43" s="17">
        <f>IF(R43="","",IFERROR(INDEX(Material!$E$40:$H$40,MATCH(C43,Material!$E$7:$H$7,0)),""))</f>
        <v/>
      </c>
    </row>
    <row r="44">
      <c r="B44" s="28" t="n"/>
      <c r="C44" s="29" t="n"/>
      <c r="D44" s="30" t="n"/>
      <c r="E44" s="31" t="n"/>
      <c r="F44" s="31" t="n"/>
      <c r="G44" s="32">
        <f>IF(D44="","",(D44/$C$4+E44/$E$4+F44/$G$4)*(1+$I$4)/24)</f>
        <v/>
      </c>
      <c r="H44" s="29" t="n"/>
      <c r="I44" s="28" t="n"/>
      <c r="J44" s="33" t="n"/>
      <c r="K44" s="29" t="n"/>
      <c r="L44" s="34" t="n"/>
      <c r="M44" s="35">
        <f>IF(OR(G44="",L44=""),"",MOD(L44+G44,1))</f>
        <v/>
      </c>
      <c r="N44" s="19">
        <f>IF(D44="","",ROUND(D44+E44/100,1))</f>
        <v/>
      </c>
      <c r="O44" s="36">
        <f>IF(N44="","",IF(N44&gt;=$M$4,"Exigente",IF(N44&gt;=$K$4,"Media","Suave")))</f>
        <v/>
      </c>
      <c r="P44" s="37">
        <f>IF(OR(J44="",K44="Hecha"),"",J44-TODAY())</f>
        <v/>
      </c>
      <c r="Q44" s="17">
        <f>IF(B44="","",COUNTIF(Realizadas!$C$8:$C$47,B44))</f>
        <v/>
      </c>
      <c r="R44" s="17">
        <f>IF(OR(B44="",C44=""),"",IFERROR(INDEX(Material!$E$38:$H$38,MATCH(C44,Material!$E$7:$H$7,0)),""))</f>
        <v/>
      </c>
      <c r="S44" s="17">
        <f>IF(R44="","",IFERROR(INDEX(Material!$E$40:$H$40,MATCH(C44,Material!$E$7:$H$7,0)),""))</f>
        <v/>
      </c>
    </row>
    <row r="45">
      <c r="B45" s="28" t="n"/>
      <c r="C45" s="29" t="n"/>
      <c r="D45" s="30" t="n"/>
      <c r="E45" s="31" t="n"/>
      <c r="F45" s="31" t="n"/>
      <c r="G45" s="32">
        <f>IF(D45="","",(D45/$C$4+E45/$E$4+F45/$G$4)*(1+$I$4)/24)</f>
        <v/>
      </c>
      <c r="H45" s="29" t="n"/>
      <c r="I45" s="28" t="n"/>
      <c r="J45" s="33" t="n"/>
      <c r="K45" s="29" t="n"/>
      <c r="L45" s="34" t="n"/>
      <c r="M45" s="35">
        <f>IF(OR(G45="",L45=""),"",MOD(L45+G45,1))</f>
        <v/>
      </c>
      <c r="N45" s="19">
        <f>IF(D45="","",ROUND(D45+E45/100,1))</f>
        <v/>
      </c>
      <c r="O45" s="36">
        <f>IF(N45="","",IF(N45&gt;=$M$4,"Exigente",IF(N45&gt;=$K$4,"Media","Suave")))</f>
        <v/>
      </c>
      <c r="P45" s="37">
        <f>IF(OR(J45="",K45="Hecha"),"",J45-TODAY())</f>
        <v/>
      </c>
      <c r="Q45" s="17">
        <f>IF(B45="","",COUNTIF(Realizadas!$C$8:$C$47,B45))</f>
        <v/>
      </c>
      <c r="R45" s="17">
        <f>IF(OR(B45="",C45=""),"",IFERROR(INDEX(Material!$E$38:$H$38,MATCH(C45,Material!$E$7:$H$7,0)),""))</f>
        <v/>
      </c>
      <c r="S45" s="17">
        <f>IF(R45="","",IFERROR(INDEX(Material!$E$40:$H$40,MATCH(C45,Material!$E$7:$H$7,0)),""))</f>
        <v/>
      </c>
    </row>
    <row r="46">
      <c r="B46" s="28" t="n"/>
      <c r="C46" s="29" t="n"/>
      <c r="D46" s="30" t="n"/>
      <c r="E46" s="31" t="n"/>
      <c r="F46" s="31" t="n"/>
      <c r="G46" s="32">
        <f>IF(D46="","",(D46/$C$4+E46/$E$4+F46/$G$4)*(1+$I$4)/24)</f>
        <v/>
      </c>
      <c r="H46" s="29" t="n"/>
      <c r="I46" s="28" t="n"/>
      <c r="J46" s="33" t="n"/>
      <c r="K46" s="29" t="n"/>
      <c r="L46" s="34" t="n"/>
      <c r="M46" s="35">
        <f>IF(OR(G46="",L46=""),"",MOD(L46+G46,1))</f>
        <v/>
      </c>
      <c r="N46" s="19">
        <f>IF(D46="","",ROUND(D46+E46/100,1))</f>
        <v/>
      </c>
      <c r="O46" s="36">
        <f>IF(N46="","",IF(N46&gt;=$M$4,"Exigente",IF(N46&gt;=$K$4,"Media","Suave")))</f>
        <v/>
      </c>
      <c r="P46" s="37">
        <f>IF(OR(J46="",K46="Hecha"),"",J46-TODAY())</f>
        <v/>
      </c>
      <c r="Q46" s="17">
        <f>IF(B46="","",COUNTIF(Realizadas!$C$8:$C$47,B46))</f>
        <v/>
      </c>
      <c r="R46" s="17">
        <f>IF(OR(B46="",C46=""),"",IFERROR(INDEX(Material!$E$38:$H$38,MATCH(C46,Material!$E$7:$H$7,0)),""))</f>
        <v/>
      </c>
      <c r="S46" s="17">
        <f>IF(R46="","",IFERROR(INDEX(Material!$E$40:$H$40,MATCH(C46,Material!$E$7:$H$7,0)),""))</f>
        <v/>
      </c>
    </row>
    <row r="47">
      <c r="B47" s="28" t="n"/>
      <c r="C47" s="29" t="n"/>
      <c r="D47" s="30" t="n"/>
      <c r="E47" s="31" t="n"/>
      <c r="F47" s="31" t="n"/>
      <c r="G47" s="32">
        <f>IF(D47="","",(D47/$C$4+E47/$E$4+F47/$G$4)*(1+$I$4)/24)</f>
        <v/>
      </c>
      <c r="H47" s="29" t="n"/>
      <c r="I47" s="28" t="n"/>
      <c r="J47" s="33" t="n"/>
      <c r="K47" s="29" t="n"/>
      <c r="L47" s="34" t="n"/>
      <c r="M47" s="35">
        <f>IF(OR(G47="",L47=""),"",MOD(L47+G47,1))</f>
        <v/>
      </c>
      <c r="N47" s="19">
        <f>IF(D47="","",ROUND(D47+E47/100,1))</f>
        <v/>
      </c>
      <c r="O47" s="36">
        <f>IF(N47="","",IF(N47&gt;=$M$4,"Exigente",IF(N47&gt;=$K$4,"Media","Suave")))</f>
        <v/>
      </c>
      <c r="P47" s="37">
        <f>IF(OR(J47="",K47="Hecha"),"",J47-TODAY())</f>
        <v/>
      </c>
      <c r="Q47" s="17">
        <f>IF(B47="","",COUNTIF(Realizadas!$C$8:$C$47,B47))</f>
        <v/>
      </c>
      <c r="R47" s="17">
        <f>IF(OR(B47="",C47=""),"",IFERROR(INDEX(Material!$E$38:$H$38,MATCH(C47,Material!$E$7:$H$7,0)),""))</f>
        <v/>
      </c>
      <c r="S47" s="17">
        <f>IF(R47="","",IFERROR(INDEX(Material!$E$40:$H$40,MATCH(C47,Material!$E$7:$H$7,0)),""))</f>
        <v/>
      </c>
    </row>
    <row r="48">
      <c r="B48" s="4" t="inlineStr">
        <is>
          <t>TOTAL</t>
        </is>
      </c>
      <c r="D48" s="21">
        <f>SUM(D8:D47)</f>
        <v/>
      </c>
      <c r="E48" s="20">
        <f>SUM(E8:E47)</f>
        <v/>
      </c>
      <c r="F48" s="20">
        <f>SUM(F8:F47)</f>
        <v/>
      </c>
      <c r="G48" s="38">
        <f>SUM(G8:G47)</f>
        <v/>
      </c>
      <c r="Q48" s="20">
        <f>SUM(Q8:Q47)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S3"/>
    <mergeCell ref="B2:S2"/>
  </mergeCells>
  <conditionalFormatting sqref="C8:C47">
    <cfRule type="cellIs" priority="1" operator="equal" dxfId="1">
      <formula>"Fácil"</formula>
    </cfRule>
    <cfRule type="cellIs" priority="2" operator="equal" dxfId="0">
      <formula>"Moderada"</formula>
    </cfRule>
    <cfRule type="cellIs" priority="3" operator="equal" dxfId="2">
      <formula>"Difícil"</formula>
    </cfRule>
    <cfRule type="cellIs" priority="4" operator="equal" dxfId="2">
      <formula>"Muy difícil"</formula>
    </cfRule>
  </conditionalFormatting>
  <conditionalFormatting sqref="K8:K47">
    <cfRule type="cellIs" priority="5" operator="equal" dxfId="1">
      <formula>"Hecha"</formula>
    </cfRule>
    <cfRule type="cellIs" priority="6" operator="equal" dxfId="0">
      <formula>"Planificada"</formula>
    </cfRule>
  </conditionalFormatting>
  <conditionalFormatting sqref="O8:O47">
    <cfRule type="cellIs" priority="7" operator="equal" dxfId="1">
      <formula>"Suave"</formula>
    </cfRule>
    <cfRule type="cellIs" priority="8" operator="equal" dxfId="0">
      <formula>"Media"</formula>
    </cfRule>
    <cfRule type="cellIs" priority="9" operator="equal" dxfId="2">
      <formula>"Exigente"</formula>
    </cfRule>
  </conditionalFormatting>
  <conditionalFormatting sqref="P8:P47">
    <cfRule type="expression" priority="10" dxfId="2">
      <formula>AND(ISNUMBER($P8),$P8&lt;0)</formula>
    </cfRule>
    <cfRule type="expression" priority="11" dxfId="0">
      <formula>AND(ISNUMBER($P8),$P8&gt;=0,$P8&lt;=7)</formula>
    </cfRule>
  </conditionalFormatting>
  <conditionalFormatting sqref="S8:S47">
    <cfRule type="expression" priority="12" dxfId="0">
      <formula>AND(ISNUMBER($S8),$S8&gt;0)</formula>
    </cfRule>
  </conditionalFormatting>
  <conditionalFormatting sqref="D8:D47">
    <cfRule type="dataBar" priority="13">
      <dataBar>
        <cfvo type="num" val="0"/>
        <cfvo type="max"/>
        <color rgb="0010B981"/>
      </dataBar>
    </cfRule>
  </conditionalFormatting>
  <dataValidations count="3">
    <dataValidation sqref="C8:C47" showDropDown="0" showInputMessage="0" showErrorMessage="0" allowBlank="1" type="list">
      <formula1>=Listas!$A$2:$A$5</formula1>
    </dataValidation>
    <dataValidation sqref="H8:H47" showDropDown="0" showInputMessage="0" showErrorMessage="0" allowBlank="1" type="list">
      <formula1>=Listas!$B$2:$B$4</formula1>
    </dataValidation>
    <dataValidation sqref="K8:K47" showDropDown="0" showInputMessage="0" showErrorMessage="0" allowBlank="1" type="list">
      <formula1>=Listas!$C$2:$C$4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N48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28" customWidth="1" min="3" max="3"/>
    <col width="13" customWidth="1" min="4" max="4"/>
    <col width="10" customWidth="1" min="5" max="5"/>
    <col width="11" customWidth="1" min="6" max="6"/>
    <col width="11" customWidth="1" min="7" max="7"/>
    <col width="11" customWidth="1" min="8" max="8"/>
    <col width="12" customWidth="1" min="9" max="9"/>
    <col width="10" customWidth="1" min="10" max="10"/>
    <col width="10" customWidth="1" min="11" max="11"/>
    <col width="13" customWidth="1" min="12" max="12"/>
    <col width="11" customWidth="1" min="13" max="13"/>
    <col width="34" customWidth="1" min="14" max="14"/>
  </cols>
  <sheetData>
    <row r="2" ht="34" customHeight="1">
      <c r="B2" s="1" t="inlineStr">
        <is>
          <t>Registro de rutas realizadas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Anota cada salida: los km, el desnivel y el ritmo se traen solos desde «Rutas»</t>
        </is>
      </c>
    </row>
    <row r="7" ht="34" customHeight="1">
      <c r="B7" s="15" t="inlineStr">
        <is>
          <t>Fecha</t>
        </is>
      </c>
      <c r="C7" s="15" t="inlineStr">
        <is>
          <t>Ruta</t>
        </is>
      </c>
      <c r="D7" s="15" t="inlineStr">
        <is>
          <t>Dificultad</t>
        </is>
      </c>
      <c r="E7" s="15" t="inlineStr">
        <is>
          <t>Km</t>
        </is>
      </c>
      <c r="F7" s="15" t="inlineStr">
        <is>
          <t>Desnivel + (m)</t>
        </is>
      </c>
      <c r="G7" s="15" t="inlineStr">
        <is>
          <t>Tiempo previsto</t>
        </is>
      </c>
      <c r="H7" s="15" t="inlineStr">
        <is>
          <t>Tiempo real</t>
        </is>
      </c>
      <c r="I7" s="15" t="inlineStr">
        <is>
          <t>Diferencia (min)</t>
        </is>
      </c>
      <c r="J7" s="15" t="inlineStr">
        <is>
          <t>Ritmo (km/h)</t>
        </is>
      </c>
      <c r="K7" s="15" t="inlineStr">
        <is>
          <t>Personas</t>
        </is>
      </c>
      <c r="L7" s="15" t="inlineStr">
        <is>
          <t>Clima</t>
        </is>
      </c>
      <c r="M7" s="15" t="inlineStr">
        <is>
          <t>Valoración (1-5)</t>
        </is>
      </c>
      <c r="N7" s="15" t="inlineStr">
        <is>
          <t>Notas</t>
        </is>
      </c>
    </row>
    <row r="8">
      <c r="B8" s="33" t="n">
        <v>46095</v>
      </c>
      <c r="C8" s="28" t="inlineStr">
        <is>
          <t>Circular de la Laguna Alta</t>
        </is>
      </c>
      <c r="D8" s="36">
        <f>IF(C8="","",IFERROR(VLOOKUP(C8,Rutas!$B$8:$D$47,2,FALSE),""))</f>
        <v/>
      </c>
      <c r="E8" s="18">
        <f>IF(C8="","",IFERROR(VLOOKUP(C8,Rutas!$B$8:$D$47,3,FALSE),""))</f>
        <v/>
      </c>
      <c r="F8" s="22">
        <f>IF(C8="","",IFERROR(VLOOKUP(C8,Rutas!$B$8:$E$47,4,FALSE),""))</f>
        <v/>
      </c>
      <c r="G8" s="32">
        <f>IF(C8="","",IFERROR(INDEX(Rutas!$G$8:$G$47,MATCH(C8,Rutas!$B$8:$B$47,0)),""))</f>
        <v/>
      </c>
      <c r="H8" s="39" t="n">
        <v>0.2777777777777778</v>
      </c>
      <c r="I8" s="40">
        <f>IF(OR(G8="",H8=""),"",ROUND((H8-G8)*1440,0))</f>
        <v/>
      </c>
      <c r="J8" s="19">
        <f>IF(OR(E8="",H8=""),"",IF(H8&gt;0,ROUND(E8/(H8*24),1),0))</f>
        <v/>
      </c>
      <c r="K8" s="26" t="n">
        <v>2</v>
      </c>
      <c r="L8" s="29" t="inlineStr">
        <is>
          <t>Nublado</t>
        </is>
      </c>
      <c r="M8" s="5" t="n">
        <v>4</v>
      </c>
      <c r="N8" s="28" t="inlineStr">
        <is>
          <t>Nieve en la parte alta</t>
        </is>
      </c>
    </row>
    <row r="9">
      <c r="B9" s="33" t="n">
        <v>46109</v>
      </c>
      <c r="C9" s="28" t="inlineStr">
        <is>
          <t>Senda del Río Claro</t>
        </is>
      </c>
      <c r="D9" s="36">
        <f>IF(C9="","",IFERROR(VLOOKUP(C9,Rutas!$B$8:$D$47,2,FALSE),""))</f>
        <v/>
      </c>
      <c r="E9" s="18">
        <f>IF(C9="","",IFERROR(VLOOKUP(C9,Rutas!$B$8:$D$47,3,FALSE),""))</f>
        <v/>
      </c>
      <c r="F9" s="22">
        <f>IF(C9="","",IFERROR(VLOOKUP(C9,Rutas!$B$8:$E$47,4,FALSE),""))</f>
        <v/>
      </c>
      <c r="G9" s="32">
        <f>IF(C9="","",IFERROR(INDEX(Rutas!$G$8:$G$47,MATCH(C9,Rutas!$B$8:$B$47,0)),""))</f>
        <v/>
      </c>
      <c r="H9" s="39" t="n">
        <v>0.1076388888888889</v>
      </c>
      <c r="I9" s="40">
        <f>IF(OR(G9="",H9=""),"",ROUND((H9-G9)*1440,0))</f>
        <v/>
      </c>
      <c r="J9" s="19">
        <f>IF(OR(E9="",H9=""),"",IF(H9&gt;0,ROUND(E9/(H9*24),1),0))</f>
        <v/>
      </c>
      <c r="K9" s="26" t="n">
        <v>3</v>
      </c>
      <c r="L9" s="29" t="inlineStr">
        <is>
          <t>Despejado</t>
        </is>
      </c>
      <c r="M9" s="5" t="n">
        <v>4</v>
      </c>
      <c r="N9" s="28" t="inlineStr">
        <is>
          <t>Paseo tranquilo con parada para comer</t>
        </is>
      </c>
    </row>
    <row r="10">
      <c r="B10" s="33" t="n">
        <v>46137</v>
      </c>
      <c r="C10" s="28" t="inlineStr">
        <is>
          <t>Subida al Pico Alto</t>
        </is>
      </c>
      <c r="D10" s="36">
        <f>IF(C10="","",IFERROR(VLOOKUP(C10,Rutas!$B$8:$D$47,2,FALSE),""))</f>
        <v/>
      </c>
      <c r="E10" s="18">
        <f>IF(C10="","",IFERROR(VLOOKUP(C10,Rutas!$B$8:$D$47,3,FALSE),""))</f>
        <v/>
      </c>
      <c r="F10" s="22">
        <f>IF(C10="","",IFERROR(VLOOKUP(C10,Rutas!$B$8:$E$47,4,FALSE),""))</f>
        <v/>
      </c>
      <c r="G10" s="32">
        <f>IF(C10="","",IFERROR(INDEX(Rutas!$G$8:$G$47,MATCH(C10,Rutas!$B$8:$B$47,0)),""))</f>
        <v/>
      </c>
      <c r="H10" s="39" t="n">
        <v>0.4479166666666667</v>
      </c>
      <c r="I10" s="40">
        <f>IF(OR(G10="",H10=""),"",ROUND((H10-G10)*1440,0))</f>
        <v/>
      </c>
      <c r="J10" s="19">
        <f>IF(OR(E10="",H10=""),"",IF(H10&gt;0,ROUND(E10/(H10*24),1),0))</f>
        <v/>
      </c>
      <c r="K10" s="26" t="n">
        <v>2</v>
      </c>
      <c r="L10" s="29" t="inlineStr">
        <is>
          <t>Viento</t>
        </is>
      </c>
      <c r="M10" s="5" t="n">
        <v>5</v>
      </c>
      <c r="N10" s="28" t="inlineStr">
        <is>
          <t>Cumbre con mucho viento</t>
        </is>
      </c>
    </row>
    <row r="11">
      <c r="B11" s="33" t="n">
        <v>46151</v>
      </c>
      <c r="C11" s="28" t="inlineStr">
        <is>
          <t>Hayedo del Valle</t>
        </is>
      </c>
      <c r="D11" s="36">
        <f>IF(C11="","",IFERROR(VLOOKUP(C11,Rutas!$B$8:$D$47,2,FALSE),""))</f>
        <v/>
      </c>
      <c r="E11" s="18">
        <f>IF(C11="","",IFERROR(VLOOKUP(C11,Rutas!$B$8:$D$47,3,FALSE),""))</f>
        <v/>
      </c>
      <c r="F11" s="22">
        <f>IF(C11="","",IFERROR(VLOOKUP(C11,Rutas!$B$8:$E$47,4,FALSE),""))</f>
        <v/>
      </c>
      <c r="G11" s="32">
        <f>IF(C11="","",IFERROR(INDEX(Rutas!$G$8:$G$47,MATCH(C11,Rutas!$B$8:$B$47,0)),""))</f>
        <v/>
      </c>
      <c r="H11" s="39" t="n">
        <v>0.1493055555555556</v>
      </c>
      <c r="I11" s="40">
        <f>IF(OR(G11="",H11=""),"",ROUND((H11-G11)*1440,0))</f>
        <v/>
      </c>
      <c r="J11" s="19">
        <f>IF(OR(E11="",H11=""),"",IF(H11&gt;0,ROUND(E11/(H11*24),1),0))</f>
        <v/>
      </c>
      <c r="K11" s="26" t="n">
        <v>4</v>
      </c>
      <c r="L11" s="29" t="inlineStr">
        <is>
          <t>Despejado</t>
        </is>
      </c>
      <c r="M11" s="5" t="n">
        <v>4</v>
      </c>
      <c r="N11" s="28" t="inlineStr">
        <is>
          <t>Ideal para ir con niños</t>
        </is>
      </c>
    </row>
    <row r="12">
      <c r="B12" s="33" t="n">
        <v>46186</v>
      </c>
      <c r="C12" s="28" t="inlineStr">
        <is>
          <t>Cresta de las Cuerdas</t>
        </is>
      </c>
      <c r="D12" s="36">
        <f>IF(C12="","",IFERROR(VLOOKUP(C12,Rutas!$B$8:$D$47,2,FALSE),""))</f>
        <v/>
      </c>
      <c r="E12" s="18">
        <f>IF(C12="","",IFERROR(VLOOKUP(C12,Rutas!$B$8:$D$47,3,FALSE),""))</f>
        <v/>
      </c>
      <c r="F12" s="22">
        <f>IF(C12="","",IFERROR(VLOOKUP(C12,Rutas!$B$8:$E$47,4,FALSE),""))</f>
        <v/>
      </c>
      <c r="G12" s="32">
        <f>IF(C12="","",IFERROR(INDEX(Rutas!$G$8:$G$47,MATCH(C12,Rutas!$B$8:$B$47,0)),""))</f>
        <v/>
      </c>
      <c r="H12" s="39" t="n">
        <v>0.5694444444444444</v>
      </c>
      <c r="I12" s="40">
        <f>IF(OR(G12="",H12=""),"",ROUND((H12-G12)*1440,0))</f>
        <v/>
      </c>
      <c r="J12" s="19">
        <f>IF(OR(E12="",H12=""),"",IF(H12&gt;0,ROUND(E12/(H12*24),1),0))</f>
        <v/>
      </c>
      <c r="K12" s="26" t="n">
        <v>2</v>
      </c>
      <c r="L12" s="29" t="inlineStr">
        <is>
          <t>Calor</t>
        </is>
      </c>
      <c r="M12" s="5" t="n">
        <v>5</v>
      </c>
      <c r="N12" s="28" t="inlineStr">
        <is>
          <t>Salida a las 6:30 por el calor</t>
        </is>
      </c>
    </row>
    <row r="13">
      <c r="B13" s="33" t="n">
        <v>46207</v>
      </c>
      <c r="C13" s="28" t="inlineStr">
        <is>
          <t>Cascadas del Barranco</t>
        </is>
      </c>
      <c r="D13" s="36">
        <f>IF(C13="","",IFERROR(VLOOKUP(C13,Rutas!$B$8:$D$47,2,FALSE),""))</f>
        <v/>
      </c>
      <c r="E13" s="18">
        <f>IF(C13="","",IFERROR(VLOOKUP(C13,Rutas!$B$8:$D$47,3,FALSE),""))</f>
        <v/>
      </c>
      <c r="F13" s="22">
        <f>IF(C13="","",IFERROR(VLOOKUP(C13,Rutas!$B$8:$E$47,4,FALSE),""))</f>
        <v/>
      </c>
      <c r="G13" s="32">
        <f>IF(C13="","",IFERROR(INDEX(Rutas!$G$8:$G$47,MATCH(C13,Rutas!$B$8:$B$47,0)),""))</f>
        <v/>
      </c>
      <c r="H13" s="39" t="n">
        <v>0.2083333333333333</v>
      </c>
      <c r="I13" s="40">
        <f>IF(OR(G13="",H13=""),"",ROUND((H13-G13)*1440,0))</f>
        <v/>
      </c>
      <c r="J13" s="19">
        <f>IF(OR(E13="",H13=""),"",IF(H13&gt;0,ROUND(E13/(H13*24),1),0))</f>
        <v/>
      </c>
      <c r="K13" s="26" t="n">
        <v>3</v>
      </c>
      <c r="L13" s="29" t="inlineStr">
        <is>
          <t>Despejado</t>
        </is>
      </c>
      <c r="M13" s="5" t="n">
        <v>4</v>
      </c>
      <c r="N13" s="28" t="inlineStr">
        <is>
          <t>Mucha gente: mejor llegar pronto</t>
        </is>
      </c>
    </row>
    <row r="14">
      <c r="B14" s="33" t="n">
        <v>46256</v>
      </c>
      <c r="C14" s="28" t="inlineStr">
        <is>
          <t>Senda del Río Claro</t>
        </is>
      </c>
      <c r="D14" s="36">
        <f>IF(C14="","",IFERROR(VLOOKUP(C14,Rutas!$B$8:$D$47,2,FALSE),""))</f>
        <v/>
      </c>
      <c r="E14" s="18">
        <f>IF(C14="","",IFERROR(VLOOKUP(C14,Rutas!$B$8:$D$47,3,FALSE),""))</f>
        <v/>
      </c>
      <c r="F14" s="22">
        <f>IF(C14="","",IFERROR(VLOOKUP(C14,Rutas!$B$8:$E$47,4,FALSE),""))</f>
        <v/>
      </c>
      <c r="G14" s="32">
        <f>IF(C14="","",IFERROR(INDEX(Rutas!$G$8:$G$47,MATCH(C14,Rutas!$B$8:$B$47,0)),""))</f>
        <v/>
      </c>
      <c r="H14" s="39" t="n">
        <v>0.1006944444444444</v>
      </c>
      <c r="I14" s="40">
        <f>IF(OR(G14="",H14=""),"",ROUND((H14-G14)*1440,0))</f>
        <v/>
      </c>
      <c r="J14" s="19">
        <f>IF(OR(E14="",H14=""),"",IF(H14&gt;0,ROUND(E14/(H14*24),1),0))</f>
        <v/>
      </c>
      <c r="K14" s="26" t="n">
        <v>4</v>
      </c>
      <c r="L14" s="29" t="inlineStr">
        <is>
          <t>Despejado</t>
        </is>
      </c>
      <c r="M14" s="5" t="n">
        <v>3</v>
      </c>
      <c r="N14" s="28" t="inlineStr">
        <is>
          <t>Repetida con la familia</t>
        </is>
      </c>
    </row>
    <row r="15">
      <c r="B15" s="33" t="n">
        <v>46277</v>
      </c>
      <c r="C15" s="28" t="inlineStr">
        <is>
          <t>Ruta de los Miradores</t>
        </is>
      </c>
      <c r="D15" s="36">
        <f>IF(C15="","",IFERROR(VLOOKUP(C15,Rutas!$B$8:$D$47,2,FALSE),""))</f>
        <v/>
      </c>
      <c r="E15" s="18">
        <f>IF(C15="","",IFERROR(VLOOKUP(C15,Rutas!$B$8:$D$47,3,FALSE),""))</f>
        <v/>
      </c>
      <c r="F15" s="22">
        <f>IF(C15="","",IFERROR(VLOOKUP(C15,Rutas!$B$8:$E$47,4,FALSE),""))</f>
        <v/>
      </c>
      <c r="G15" s="32">
        <f>IF(C15="","",IFERROR(INDEX(Rutas!$G$8:$G$47,MATCH(C15,Rutas!$B$8:$B$47,0)),""))</f>
        <v/>
      </c>
      <c r="H15" s="39" t="n">
        <v>0.2777777777777778</v>
      </c>
      <c r="I15" s="40">
        <f>IF(OR(G15="",H15=""),"",ROUND((H15-G15)*1440,0))</f>
        <v/>
      </c>
      <c r="J15" s="19">
        <f>IF(OR(E15="",H15=""),"",IF(H15&gt;0,ROUND(E15/(H15*24),1),0))</f>
        <v/>
      </c>
      <c r="K15" s="26" t="n">
        <v>2</v>
      </c>
      <c r="L15" s="29" t="inlineStr">
        <is>
          <t>Nublado</t>
        </is>
      </c>
      <c r="M15" s="5" t="n">
        <v>4</v>
      </c>
      <c r="N15" s="28" t="inlineStr">
        <is>
          <t>Vistas al mar entre nubes</t>
        </is>
      </c>
    </row>
    <row r="16">
      <c r="B16" s="33" t="n">
        <v>46291</v>
      </c>
      <c r="C16" s="28" t="inlineStr">
        <is>
          <t>Refugio del Collado</t>
        </is>
      </c>
      <c r="D16" s="36">
        <f>IF(C16="","",IFERROR(VLOOKUP(C16,Rutas!$B$8:$D$47,2,FALSE),""))</f>
        <v/>
      </c>
      <c r="E16" s="18">
        <f>IF(C16="","",IFERROR(VLOOKUP(C16,Rutas!$B$8:$D$47,3,FALSE),""))</f>
        <v/>
      </c>
      <c r="F16" s="22">
        <f>IF(C16="","",IFERROR(VLOOKUP(C16,Rutas!$B$8:$E$47,4,FALSE),""))</f>
        <v/>
      </c>
      <c r="G16" s="32">
        <f>IF(C16="","",IFERROR(INDEX(Rutas!$G$8:$G$47,MATCH(C16,Rutas!$B$8:$B$47,0)),""))</f>
        <v/>
      </c>
      <c r="H16" s="39" t="n">
        <v>0.3298611111111111</v>
      </c>
      <c r="I16" s="40">
        <f>IF(OR(G16="",H16=""),"",ROUND((H16-G16)*1440,0))</f>
        <v/>
      </c>
      <c r="J16" s="19">
        <f>IF(OR(E16="",H16=""),"",IF(H16&gt;0,ROUND(E16/(H16*24),1),0))</f>
        <v/>
      </c>
      <c r="K16" s="26" t="n">
        <v>2</v>
      </c>
      <c r="L16" s="29" t="inlineStr">
        <is>
          <t>Lluvia</t>
        </is>
      </c>
      <c r="M16" s="5" t="n">
        <v>3</v>
      </c>
      <c r="N16" s="28" t="inlineStr">
        <is>
          <t>Chubasco en el descenso</t>
        </is>
      </c>
    </row>
    <row r="17">
      <c r="B17" s="33" t="n">
        <v>46296</v>
      </c>
      <c r="C17" s="28" t="inlineStr">
        <is>
          <t>Hayedo del Valle</t>
        </is>
      </c>
      <c r="D17" s="36">
        <f>IF(C17="","",IFERROR(VLOOKUP(C17,Rutas!$B$8:$D$47,2,FALSE),""))</f>
        <v/>
      </c>
      <c r="E17" s="18">
        <f>IF(C17="","",IFERROR(VLOOKUP(C17,Rutas!$B$8:$D$47,3,FALSE),""))</f>
        <v/>
      </c>
      <c r="F17" s="22">
        <f>IF(C17="","",IFERROR(VLOOKUP(C17,Rutas!$B$8:$E$47,4,FALSE),""))</f>
        <v/>
      </c>
      <c r="G17" s="32">
        <f>IF(C17="","",IFERROR(INDEX(Rutas!$G$8:$G$47,MATCH(C17,Rutas!$B$8:$B$47,0)),""))</f>
        <v/>
      </c>
      <c r="H17" s="39" t="n">
        <v>0.15625</v>
      </c>
      <c r="I17" s="40">
        <f>IF(OR(G17="",H17=""),"",ROUND((H17-G17)*1440,0))</f>
        <v/>
      </c>
      <c r="J17" s="19">
        <f>IF(OR(E17="",H17=""),"",IF(H17&gt;0,ROUND(E17/(H17*24),1),0))</f>
        <v/>
      </c>
      <c r="K17" s="26" t="n">
        <v>2</v>
      </c>
      <c r="L17" s="29" t="inlineStr">
        <is>
          <t>Niebla</t>
        </is>
      </c>
      <c r="M17" s="5" t="n">
        <v>5</v>
      </c>
      <c r="N17" s="28" t="inlineStr">
        <is>
          <t>Colores de otoño</t>
        </is>
      </c>
    </row>
    <row r="18">
      <c r="B18" s="33" t="n"/>
      <c r="C18" s="28" t="n"/>
      <c r="D18" s="36">
        <f>IF(C18="","",IFERROR(VLOOKUP(C18,Rutas!$B$8:$D$47,2,FALSE),""))</f>
        <v/>
      </c>
      <c r="E18" s="18">
        <f>IF(C18="","",IFERROR(VLOOKUP(C18,Rutas!$B$8:$D$47,3,FALSE),""))</f>
        <v/>
      </c>
      <c r="F18" s="22">
        <f>IF(C18="","",IFERROR(VLOOKUP(C18,Rutas!$B$8:$E$47,4,FALSE),""))</f>
        <v/>
      </c>
      <c r="G18" s="32">
        <f>IF(C18="","",IFERROR(INDEX(Rutas!$G$8:$G$47,MATCH(C18,Rutas!$B$8:$B$47,0)),""))</f>
        <v/>
      </c>
      <c r="H18" s="39" t="n"/>
      <c r="I18" s="40">
        <f>IF(OR(G18="",H18=""),"",ROUND((H18-G18)*1440,0))</f>
        <v/>
      </c>
      <c r="J18" s="19">
        <f>IF(OR(E18="",H18=""),"",IF(H18&gt;0,ROUND(E18/(H18*24),1),0))</f>
        <v/>
      </c>
      <c r="K18" s="26" t="n"/>
      <c r="L18" s="29" t="n"/>
      <c r="M18" s="5" t="n"/>
      <c r="N18" s="28" t="n"/>
    </row>
    <row r="19">
      <c r="B19" s="33" t="n"/>
      <c r="C19" s="28" t="n"/>
      <c r="D19" s="36">
        <f>IF(C19="","",IFERROR(VLOOKUP(C19,Rutas!$B$8:$D$47,2,FALSE),""))</f>
        <v/>
      </c>
      <c r="E19" s="18">
        <f>IF(C19="","",IFERROR(VLOOKUP(C19,Rutas!$B$8:$D$47,3,FALSE),""))</f>
        <v/>
      </c>
      <c r="F19" s="22">
        <f>IF(C19="","",IFERROR(VLOOKUP(C19,Rutas!$B$8:$E$47,4,FALSE),""))</f>
        <v/>
      </c>
      <c r="G19" s="32">
        <f>IF(C19="","",IFERROR(INDEX(Rutas!$G$8:$G$47,MATCH(C19,Rutas!$B$8:$B$47,0)),""))</f>
        <v/>
      </c>
      <c r="H19" s="39" t="n"/>
      <c r="I19" s="40">
        <f>IF(OR(G19="",H19=""),"",ROUND((H19-G19)*1440,0))</f>
        <v/>
      </c>
      <c r="J19" s="19">
        <f>IF(OR(E19="",H19=""),"",IF(H19&gt;0,ROUND(E19/(H19*24),1),0))</f>
        <v/>
      </c>
      <c r="K19" s="26" t="n"/>
      <c r="L19" s="29" t="n"/>
      <c r="M19" s="5" t="n"/>
      <c r="N19" s="28" t="n"/>
    </row>
    <row r="20">
      <c r="B20" s="33" t="n"/>
      <c r="C20" s="28" t="n"/>
      <c r="D20" s="36">
        <f>IF(C20="","",IFERROR(VLOOKUP(C20,Rutas!$B$8:$D$47,2,FALSE),""))</f>
        <v/>
      </c>
      <c r="E20" s="18">
        <f>IF(C20="","",IFERROR(VLOOKUP(C20,Rutas!$B$8:$D$47,3,FALSE),""))</f>
        <v/>
      </c>
      <c r="F20" s="22">
        <f>IF(C20="","",IFERROR(VLOOKUP(C20,Rutas!$B$8:$E$47,4,FALSE),""))</f>
        <v/>
      </c>
      <c r="G20" s="32">
        <f>IF(C20="","",IFERROR(INDEX(Rutas!$G$8:$G$47,MATCH(C20,Rutas!$B$8:$B$47,0)),""))</f>
        <v/>
      </c>
      <c r="H20" s="39" t="n"/>
      <c r="I20" s="40">
        <f>IF(OR(G20="",H20=""),"",ROUND((H20-G20)*1440,0))</f>
        <v/>
      </c>
      <c r="J20" s="19">
        <f>IF(OR(E20="",H20=""),"",IF(H20&gt;0,ROUND(E20/(H20*24),1),0))</f>
        <v/>
      </c>
      <c r="K20" s="26" t="n"/>
      <c r="L20" s="29" t="n"/>
      <c r="M20" s="5" t="n"/>
      <c r="N20" s="28" t="n"/>
    </row>
    <row r="21">
      <c r="B21" s="33" t="n"/>
      <c r="C21" s="28" t="n"/>
      <c r="D21" s="36">
        <f>IF(C21="","",IFERROR(VLOOKUP(C21,Rutas!$B$8:$D$47,2,FALSE),""))</f>
        <v/>
      </c>
      <c r="E21" s="18">
        <f>IF(C21="","",IFERROR(VLOOKUP(C21,Rutas!$B$8:$D$47,3,FALSE),""))</f>
        <v/>
      </c>
      <c r="F21" s="22">
        <f>IF(C21="","",IFERROR(VLOOKUP(C21,Rutas!$B$8:$E$47,4,FALSE),""))</f>
        <v/>
      </c>
      <c r="G21" s="32">
        <f>IF(C21="","",IFERROR(INDEX(Rutas!$G$8:$G$47,MATCH(C21,Rutas!$B$8:$B$47,0)),""))</f>
        <v/>
      </c>
      <c r="H21" s="39" t="n"/>
      <c r="I21" s="40">
        <f>IF(OR(G21="",H21=""),"",ROUND((H21-G21)*1440,0))</f>
        <v/>
      </c>
      <c r="J21" s="19">
        <f>IF(OR(E21="",H21=""),"",IF(H21&gt;0,ROUND(E21/(H21*24),1),0))</f>
        <v/>
      </c>
      <c r="K21" s="26" t="n"/>
      <c r="L21" s="29" t="n"/>
      <c r="M21" s="5" t="n"/>
      <c r="N21" s="28" t="n"/>
    </row>
    <row r="22">
      <c r="B22" s="33" t="n"/>
      <c r="C22" s="28" t="n"/>
      <c r="D22" s="36">
        <f>IF(C22="","",IFERROR(VLOOKUP(C22,Rutas!$B$8:$D$47,2,FALSE),""))</f>
        <v/>
      </c>
      <c r="E22" s="18">
        <f>IF(C22="","",IFERROR(VLOOKUP(C22,Rutas!$B$8:$D$47,3,FALSE),""))</f>
        <v/>
      </c>
      <c r="F22" s="22">
        <f>IF(C22="","",IFERROR(VLOOKUP(C22,Rutas!$B$8:$E$47,4,FALSE),""))</f>
        <v/>
      </c>
      <c r="G22" s="32">
        <f>IF(C22="","",IFERROR(INDEX(Rutas!$G$8:$G$47,MATCH(C22,Rutas!$B$8:$B$47,0)),""))</f>
        <v/>
      </c>
      <c r="H22" s="39" t="n"/>
      <c r="I22" s="40">
        <f>IF(OR(G22="",H22=""),"",ROUND((H22-G22)*1440,0))</f>
        <v/>
      </c>
      <c r="J22" s="19">
        <f>IF(OR(E22="",H22=""),"",IF(H22&gt;0,ROUND(E22/(H22*24),1),0))</f>
        <v/>
      </c>
      <c r="K22" s="26" t="n"/>
      <c r="L22" s="29" t="n"/>
      <c r="M22" s="5" t="n"/>
      <c r="N22" s="28" t="n"/>
    </row>
    <row r="23">
      <c r="B23" s="33" t="n"/>
      <c r="C23" s="28" t="n"/>
      <c r="D23" s="36">
        <f>IF(C23="","",IFERROR(VLOOKUP(C23,Rutas!$B$8:$D$47,2,FALSE),""))</f>
        <v/>
      </c>
      <c r="E23" s="18">
        <f>IF(C23="","",IFERROR(VLOOKUP(C23,Rutas!$B$8:$D$47,3,FALSE),""))</f>
        <v/>
      </c>
      <c r="F23" s="22">
        <f>IF(C23="","",IFERROR(VLOOKUP(C23,Rutas!$B$8:$E$47,4,FALSE),""))</f>
        <v/>
      </c>
      <c r="G23" s="32">
        <f>IF(C23="","",IFERROR(INDEX(Rutas!$G$8:$G$47,MATCH(C23,Rutas!$B$8:$B$47,0)),""))</f>
        <v/>
      </c>
      <c r="H23" s="39" t="n"/>
      <c r="I23" s="40">
        <f>IF(OR(G23="",H23=""),"",ROUND((H23-G23)*1440,0))</f>
        <v/>
      </c>
      <c r="J23" s="19">
        <f>IF(OR(E23="",H23=""),"",IF(H23&gt;0,ROUND(E23/(H23*24),1),0))</f>
        <v/>
      </c>
      <c r="K23" s="26" t="n"/>
      <c r="L23" s="29" t="n"/>
      <c r="M23" s="5" t="n"/>
      <c r="N23" s="28" t="n"/>
    </row>
    <row r="24">
      <c r="B24" s="33" t="n"/>
      <c r="C24" s="28" t="n"/>
      <c r="D24" s="36">
        <f>IF(C24="","",IFERROR(VLOOKUP(C24,Rutas!$B$8:$D$47,2,FALSE),""))</f>
        <v/>
      </c>
      <c r="E24" s="18">
        <f>IF(C24="","",IFERROR(VLOOKUP(C24,Rutas!$B$8:$D$47,3,FALSE),""))</f>
        <v/>
      </c>
      <c r="F24" s="22">
        <f>IF(C24="","",IFERROR(VLOOKUP(C24,Rutas!$B$8:$E$47,4,FALSE),""))</f>
        <v/>
      </c>
      <c r="G24" s="32">
        <f>IF(C24="","",IFERROR(INDEX(Rutas!$G$8:$G$47,MATCH(C24,Rutas!$B$8:$B$47,0)),""))</f>
        <v/>
      </c>
      <c r="H24" s="39" t="n"/>
      <c r="I24" s="40">
        <f>IF(OR(G24="",H24=""),"",ROUND((H24-G24)*1440,0))</f>
        <v/>
      </c>
      <c r="J24" s="19">
        <f>IF(OR(E24="",H24=""),"",IF(H24&gt;0,ROUND(E24/(H24*24),1),0))</f>
        <v/>
      </c>
      <c r="K24" s="26" t="n"/>
      <c r="L24" s="29" t="n"/>
      <c r="M24" s="5" t="n"/>
      <c r="N24" s="28" t="n"/>
    </row>
    <row r="25">
      <c r="B25" s="33" t="n"/>
      <c r="C25" s="28" t="n"/>
      <c r="D25" s="36">
        <f>IF(C25="","",IFERROR(VLOOKUP(C25,Rutas!$B$8:$D$47,2,FALSE),""))</f>
        <v/>
      </c>
      <c r="E25" s="18">
        <f>IF(C25="","",IFERROR(VLOOKUP(C25,Rutas!$B$8:$D$47,3,FALSE),""))</f>
        <v/>
      </c>
      <c r="F25" s="22">
        <f>IF(C25="","",IFERROR(VLOOKUP(C25,Rutas!$B$8:$E$47,4,FALSE),""))</f>
        <v/>
      </c>
      <c r="G25" s="32">
        <f>IF(C25="","",IFERROR(INDEX(Rutas!$G$8:$G$47,MATCH(C25,Rutas!$B$8:$B$47,0)),""))</f>
        <v/>
      </c>
      <c r="H25" s="39" t="n"/>
      <c r="I25" s="40">
        <f>IF(OR(G25="",H25=""),"",ROUND((H25-G25)*1440,0))</f>
        <v/>
      </c>
      <c r="J25" s="19">
        <f>IF(OR(E25="",H25=""),"",IF(H25&gt;0,ROUND(E25/(H25*24),1),0))</f>
        <v/>
      </c>
      <c r="K25" s="26" t="n"/>
      <c r="L25" s="29" t="n"/>
      <c r="M25" s="5" t="n"/>
      <c r="N25" s="28" t="n"/>
    </row>
    <row r="26">
      <c r="B26" s="33" t="n"/>
      <c r="C26" s="28" t="n"/>
      <c r="D26" s="36">
        <f>IF(C26="","",IFERROR(VLOOKUP(C26,Rutas!$B$8:$D$47,2,FALSE),""))</f>
        <v/>
      </c>
      <c r="E26" s="18">
        <f>IF(C26="","",IFERROR(VLOOKUP(C26,Rutas!$B$8:$D$47,3,FALSE),""))</f>
        <v/>
      </c>
      <c r="F26" s="22">
        <f>IF(C26="","",IFERROR(VLOOKUP(C26,Rutas!$B$8:$E$47,4,FALSE),""))</f>
        <v/>
      </c>
      <c r="G26" s="32">
        <f>IF(C26="","",IFERROR(INDEX(Rutas!$G$8:$G$47,MATCH(C26,Rutas!$B$8:$B$47,0)),""))</f>
        <v/>
      </c>
      <c r="H26" s="39" t="n"/>
      <c r="I26" s="40">
        <f>IF(OR(G26="",H26=""),"",ROUND((H26-G26)*1440,0))</f>
        <v/>
      </c>
      <c r="J26" s="19">
        <f>IF(OR(E26="",H26=""),"",IF(H26&gt;0,ROUND(E26/(H26*24),1),0))</f>
        <v/>
      </c>
      <c r="K26" s="26" t="n"/>
      <c r="L26" s="29" t="n"/>
      <c r="M26" s="5" t="n"/>
      <c r="N26" s="28" t="n"/>
    </row>
    <row r="27">
      <c r="B27" s="33" t="n"/>
      <c r="C27" s="28" t="n"/>
      <c r="D27" s="36">
        <f>IF(C27="","",IFERROR(VLOOKUP(C27,Rutas!$B$8:$D$47,2,FALSE),""))</f>
        <v/>
      </c>
      <c r="E27" s="18">
        <f>IF(C27="","",IFERROR(VLOOKUP(C27,Rutas!$B$8:$D$47,3,FALSE),""))</f>
        <v/>
      </c>
      <c r="F27" s="22">
        <f>IF(C27="","",IFERROR(VLOOKUP(C27,Rutas!$B$8:$E$47,4,FALSE),""))</f>
        <v/>
      </c>
      <c r="G27" s="32">
        <f>IF(C27="","",IFERROR(INDEX(Rutas!$G$8:$G$47,MATCH(C27,Rutas!$B$8:$B$47,0)),""))</f>
        <v/>
      </c>
      <c r="H27" s="39" t="n"/>
      <c r="I27" s="40">
        <f>IF(OR(G27="",H27=""),"",ROUND((H27-G27)*1440,0))</f>
        <v/>
      </c>
      <c r="J27" s="19">
        <f>IF(OR(E27="",H27=""),"",IF(H27&gt;0,ROUND(E27/(H27*24),1),0))</f>
        <v/>
      </c>
      <c r="K27" s="26" t="n"/>
      <c r="L27" s="29" t="n"/>
      <c r="M27" s="5" t="n"/>
      <c r="N27" s="28" t="n"/>
    </row>
    <row r="28">
      <c r="B28" s="33" t="n"/>
      <c r="C28" s="28" t="n"/>
      <c r="D28" s="36">
        <f>IF(C28="","",IFERROR(VLOOKUP(C28,Rutas!$B$8:$D$47,2,FALSE),""))</f>
        <v/>
      </c>
      <c r="E28" s="18">
        <f>IF(C28="","",IFERROR(VLOOKUP(C28,Rutas!$B$8:$D$47,3,FALSE),""))</f>
        <v/>
      </c>
      <c r="F28" s="22">
        <f>IF(C28="","",IFERROR(VLOOKUP(C28,Rutas!$B$8:$E$47,4,FALSE),""))</f>
        <v/>
      </c>
      <c r="G28" s="32">
        <f>IF(C28="","",IFERROR(INDEX(Rutas!$G$8:$G$47,MATCH(C28,Rutas!$B$8:$B$47,0)),""))</f>
        <v/>
      </c>
      <c r="H28" s="39" t="n"/>
      <c r="I28" s="40">
        <f>IF(OR(G28="",H28=""),"",ROUND((H28-G28)*1440,0))</f>
        <v/>
      </c>
      <c r="J28" s="19">
        <f>IF(OR(E28="",H28=""),"",IF(H28&gt;0,ROUND(E28/(H28*24),1),0))</f>
        <v/>
      </c>
      <c r="K28" s="26" t="n"/>
      <c r="L28" s="29" t="n"/>
      <c r="M28" s="5" t="n"/>
      <c r="N28" s="28" t="n"/>
    </row>
    <row r="29">
      <c r="B29" s="33" t="n"/>
      <c r="C29" s="28" t="n"/>
      <c r="D29" s="36">
        <f>IF(C29="","",IFERROR(VLOOKUP(C29,Rutas!$B$8:$D$47,2,FALSE),""))</f>
        <v/>
      </c>
      <c r="E29" s="18">
        <f>IF(C29="","",IFERROR(VLOOKUP(C29,Rutas!$B$8:$D$47,3,FALSE),""))</f>
        <v/>
      </c>
      <c r="F29" s="22">
        <f>IF(C29="","",IFERROR(VLOOKUP(C29,Rutas!$B$8:$E$47,4,FALSE),""))</f>
        <v/>
      </c>
      <c r="G29" s="32">
        <f>IF(C29="","",IFERROR(INDEX(Rutas!$G$8:$G$47,MATCH(C29,Rutas!$B$8:$B$47,0)),""))</f>
        <v/>
      </c>
      <c r="H29" s="39" t="n"/>
      <c r="I29" s="40">
        <f>IF(OR(G29="",H29=""),"",ROUND((H29-G29)*1440,0))</f>
        <v/>
      </c>
      <c r="J29" s="19">
        <f>IF(OR(E29="",H29=""),"",IF(H29&gt;0,ROUND(E29/(H29*24),1),0))</f>
        <v/>
      </c>
      <c r="K29" s="26" t="n"/>
      <c r="L29" s="29" t="n"/>
      <c r="M29" s="5" t="n"/>
      <c r="N29" s="28" t="n"/>
    </row>
    <row r="30">
      <c r="B30" s="33" t="n"/>
      <c r="C30" s="28" t="n"/>
      <c r="D30" s="36">
        <f>IF(C30="","",IFERROR(VLOOKUP(C30,Rutas!$B$8:$D$47,2,FALSE),""))</f>
        <v/>
      </c>
      <c r="E30" s="18">
        <f>IF(C30="","",IFERROR(VLOOKUP(C30,Rutas!$B$8:$D$47,3,FALSE),""))</f>
        <v/>
      </c>
      <c r="F30" s="22">
        <f>IF(C30="","",IFERROR(VLOOKUP(C30,Rutas!$B$8:$E$47,4,FALSE),""))</f>
        <v/>
      </c>
      <c r="G30" s="32">
        <f>IF(C30="","",IFERROR(INDEX(Rutas!$G$8:$G$47,MATCH(C30,Rutas!$B$8:$B$47,0)),""))</f>
        <v/>
      </c>
      <c r="H30" s="39" t="n"/>
      <c r="I30" s="40">
        <f>IF(OR(G30="",H30=""),"",ROUND((H30-G30)*1440,0))</f>
        <v/>
      </c>
      <c r="J30" s="19">
        <f>IF(OR(E30="",H30=""),"",IF(H30&gt;0,ROUND(E30/(H30*24),1),0))</f>
        <v/>
      </c>
      <c r="K30" s="26" t="n"/>
      <c r="L30" s="29" t="n"/>
      <c r="M30" s="5" t="n"/>
      <c r="N30" s="28" t="n"/>
    </row>
    <row r="31">
      <c r="B31" s="33" t="n"/>
      <c r="C31" s="28" t="n"/>
      <c r="D31" s="36">
        <f>IF(C31="","",IFERROR(VLOOKUP(C31,Rutas!$B$8:$D$47,2,FALSE),""))</f>
        <v/>
      </c>
      <c r="E31" s="18">
        <f>IF(C31="","",IFERROR(VLOOKUP(C31,Rutas!$B$8:$D$47,3,FALSE),""))</f>
        <v/>
      </c>
      <c r="F31" s="22">
        <f>IF(C31="","",IFERROR(VLOOKUP(C31,Rutas!$B$8:$E$47,4,FALSE),""))</f>
        <v/>
      </c>
      <c r="G31" s="32">
        <f>IF(C31="","",IFERROR(INDEX(Rutas!$G$8:$G$47,MATCH(C31,Rutas!$B$8:$B$47,0)),""))</f>
        <v/>
      </c>
      <c r="H31" s="39" t="n"/>
      <c r="I31" s="40">
        <f>IF(OR(G31="",H31=""),"",ROUND((H31-G31)*1440,0))</f>
        <v/>
      </c>
      <c r="J31" s="19">
        <f>IF(OR(E31="",H31=""),"",IF(H31&gt;0,ROUND(E31/(H31*24),1),0))</f>
        <v/>
      </c>
      <c r="K31" s="26" t="n"/>
      <c r="L31" s="29" t="n"/>
      <c r="M31" s="5" t="n"/>
      <c r="N31" s="28" t="n"/>
    </row>
    <row r="32">
      <c r="B32" s="33" t="n"/>
      <c r="C32" s="28" t="n"/>
      <c r="D32" s="36">
        <f>IF(C32="","",IFERROR(VLOOKUP(C32,Rutas!$B$8:$D$47,2,FALSE),""))</f>
        <v/>
      </c>
      <c r="E32" s="18">
        <f>IF(C32="","",IFERROR(VLOOKUP(C32,Rutas!$B$8:$D$47,3,FALSE),""))</f>
        <v/>
      </c>
      <c r="F32" s="22">
        <f>IF(C32="","",IFERROR(VLOOKUP(C32,Rutas!$B$8:$E$47,4,FALSE),""))</f>
        <v/>
      </c>
      <c r="G32" s="32">
        <f>IF(C32="","",IFERROR(INDEX(Rutas!$G$8:$G$47,MATCH(C32,Rutas!$B$8:$B$47,0)),""))</f>
        <v/>
      </c>
      <c r="H32" s="39" t="n"/>
      <c r="I32" s="40">
        <f>IF(OR(G32="",H32=""),"",ROUND((H32-G32)*1440,0))</f>
        <v/>
      </c>
      <c r="J32" s="19">
        <f>IF(OR(E32="",H32=""),"",IF(H32&gt;0,ROUND(E32/(H32*24),1),0))</f>
        <v/>
      </c>
      <c r="K32" s="26" t="n"/>
      <c r="L32" s="29" t="n"/>
      <c r="M32" s="5" t="n"/>
      <c r="N32" s="28" t="n"/>
    </row>
    <row r="33">
      <c r="B33" s="33" t="n"/>
      <c r="C33" s="28" t="n"/>
      <c r="D33" s="36">
        <f>IF(C33="","",IFERROR(VLOOKUP(C33,Rutas!$B$8:$D$47,2,FALSE),""))</f>
        <v/>
      </c>
      <c r="E33" s="18">
        <f>IF(C33="","",IFERROR(VLOOKUP(C33,Rutas!$B$8:$D$47,3,FALSE),""))</f>
        <v/>
      </c>
      <c r="F33" s="22">
        <f>IF(C33="","",IFERROR(VLOOKUP(C33,Rutas!$B$8:$E$47,4,FALSE),""))</f>
        <v/>
      </c>
      <c r="G33" s="32">
        <f>IF(C33="","",IFERROR(INDEX(Rutas!$G$8:$G$47,MATCH(C33,Rutas!$B$8:$B$47,0)),""))</f>
        <v/>
      </c>
      <c r="H33" s="39" t="n"/>
      <c r="I33" s="40">
        <f>IF(OR(G33="",H33=""),"",ROUND((H33-G33)*1440,0))</f>
        <v/>
      </c>
      <c r="J33" s="19">
        <f>IF(OR(E33="",H33=""),"",IF(H33&gt;0,ROUND(E33/(H33*24),1),0))</f>
        <v/>
      </c>
      <c r="K33" s="26" t="n"/>
      <c r="L33" s="29" t="n"/>
      <c r="M33" s="5" t="n"/>
      <c r="N33" s="28" t="n"/>
    </row>
    <row r="34">
      <c r="B34" s="33" t="n"/>
      <c r="C34" s="28" t="n"/>
      <c r="D34" s="36">
        <f>IF(C34="","",IFERROR(VLOOKUP(C34,Rutas!$B$8:$D$47,2,FALSE),""))</f>
        <v/>
      </c>
      <c r="E34" s="18">
        <f>IF(C34="","",IFERROR(VLOOKUP(C34,Rutas!$B$8:$D$47,3,FALSE),""))</f>
        <v/>
      </c>
      <c r="F34" s="22">
        <f>IF(C34="","",IFERROR(VLOOKUP(C34,Rutas!$B$8:$E$47,4,FALSE),""))</f>
        <v/>
      </c>
      <c r="G34" s="32">
        <f>IF(C34="","",IFERROR(INDEX(Rutas!$G$8:$G$47,MATCH(C34,Rutas!$B$8:$B$47,0)),""))</f>
        <v/>
      </c>
      <c r="H34" s="39" t="n"/>
      <c r="I34" s="40">
        <f>IF(OR(G34="",H34=""),"",ROUND((H34-G34)*1440,0))</f>
        <v/>
      </c>
      <c r="J34" s="19">
        <f>IF(OR(E34="",H34=""),"",IF(H34&gt;0,ROUND(E34/(H34*24),1),0))</f>
        <v/>
      </c>
      <c r="K34" s="26" t="n"/>
      <c r="L34" s="29" t="n"/>
      <c r="M34" s="5" t="n"/>
      <c r="N34" s="28" t="n"/>
    </row>
    <row r="35">
      <c r="B35" s="33" t="n"/>
      <c r="C35" s="28" t="n"/>
      <c r="D35" s="36">
        <f>IF(C35="","",IFERROR(VLOOKUP(C35,Rutas!$B$8:$D$47,2,FALSE),""))</f>
        <v/>
      </c>
      <c r="E35" s="18">
        <f>IF(C35="","",IFERROR(VLOOKUP(C35,Rutas!$B$8:$D$47,3,FALSE),""))</f>
        <v/>
      </c>
      <c r="F35" s="22">
        <f>IF(C35="","",IFERROR(VLOOKUP(C35,Rutas!$B$8:$E$47,4,FALSE),""))</f>
        <v/>
      </c>
      <c r="G35" s="32">
        <f>IF(C35="","",IFERROR(INDEX(Rutas!$G$8:$G$47,MATCH(C35,Rutas!$B$8:$B$47,0)),""))</f>
        <v/>
      </c>
      <c r="H35" s="39" t="n"/>
      <c r="I35" s="40">
        <f>IF(OR(G35="",H35=""),"",ROUND((H35-G35)*1440,0))</f>
        <v/>
      </c>
      <c r="J35" s="19">
        <f>IF(OR(E35="",H35=""),"",IF(H35&gt;0,ROUND(E35/(H35*24),1),0))</f>
        <v/>
      </c>
      <c r="K35" s="26" t="n"/>
      <c r="L35" s="29" t="n"/>
      <c r="M35" s="5" t="n"/>
      <c r="N35" s="28" t="n"/>
    </row>
    <row r="36">
      <c r="B36" s="33" t="n"/>
      <c r="C36" s="28" t="n"/>
      <c r="D36" s="36">
        <f>IF(C36="","",IFERROR(VLOOKUP(C36,Rutas!$B$8:$D$47,2,FALSE),""))</f>
        <v/>
      </c>
      <c r="E36" s="18">
        <f>IF(C36="","",IFERROR(VLOOKUP(C36,Rutas!$B$8:$D$47,3,FALSE),""))</f>
        <v/>
      </c>
      <c r="F36" s="22">
        <f>IF(C36="","",IFERROR(VLOOKUP(C36,Rutas!$B$8:$E$47,4,FALSE),""))</f>
        <v/>
      </c>
      <c r="G36" s="32">
        <f>IF(C36="","",IFERROR(INDEX(Rutas!$G$8:$G$47,MATCH(C36,Rutas!$B$8:$B$47,0)),""))</f>
        <v/>
      </c>
      <c r="H36" s="39" t="n"/>
      <c r="I36" s="40">
        <f>IF(OR(G36="",H36=""),"",ROUND((H36-G36)*1440,0))</f>
        <v/>
      </c>
      <c r="J36" s="19">
        <f>IF(OR(E36="",H36=""),"",IF(H36&gt;0,ROUND(E36/(H36*24),1),0))</f>
        <v/>
      </c>
      <c r="K36" s="26" t="n"/>
      <c r="L36" s="29" t="n"/>
      <c r="M36" s="5" t="n"/>
      <c r="N36" s="28" t="n"/>
    </row>
    <row r="37">
      <c r="B37" s="33" t="n"/>
      <c r="C37" s="28" t="n"/>
      <c r="D37" s="36">
        <f>IF(C37="","",IFERROR(VLOOKUP(C37,Rutas!$B$8:$D$47,2,FALSE),""))</f>
        <v/>
      </c>
      <c r="E37" s="18">
        <f>IF(C37="","",IFERROR(VLOOKUP(C37,Rutas!$B$8:$D$47,3,FALSE),""))</f>
        <v/>
      </c>
      <c r="F37" s="22">
        <f>IF(C37="","",IFERROR(VLOOKUP(C37,Rutas!$B$8:$E$47,4,FALSE),""))</f>
        <v/>
      </c>
      <c r="G37" s="32">
        <f>IF(C37="","",IFERROR(INDEX(Rutas!$G$8:$G$47,MATCH(C37,Rutas!$B$8:$B$47,0)),""))</f>
        <v/>
      </c>
      <c r="H37" s="39" t="n"/>
      <c r="I37" s="40">
        <f>IF(OR(G37="",H37=""),"",ROUND((H37-G37)*1440,0))</f>
        <v/>
      </c>
      <c r="J37" s="19">
        <f>IF(OR(E37="",H37=""),"",IF(H37&gt;0,ROUND(E37/(H37*24),1),0))</f>
        <v/>
      </c>
      <c r="K37" s="26" t="n"/>
      <c r="L37" s="29" t="n"/>
      <c r="M37" s="5" t="n"/>
      <c r="N37" s="28" t="n"/>
    </row>
    <row r="38">
      <c r="B38" s="33" t="n"/>
      <c r="C38" s="28" t="n"/>
      <c r="D38" s="36">
        <f>IF(C38="","",IFERROR(VLOOKUP(C38,Rutas!$B$8:$D$47,2,FALSE),""))</f>
        <v/>
      </c>
      <c r="E38" s="18">
        <f>IF(C38="","",IFERROR(VLOOKUP(C38,Rutas!$B$8:$D$47,3,FALSE),""))</f>
        <v/>
      </c>
      <c r="F38" s="22">
        <f>IF(C38="","",IFERROR(VLOOKUP(C38,Rutas!$B$8:$E$47,4,FALSE),""))</f>
        <v/>
      </c>
      <c r="G38" s="32">
        <f>IF(C38="","",IFERROR(INDEX(Rutas!$G$8:$G$47,MATCH(C38,Rutas!$B$8:$B$47,0)),""))</f>
        <v/>
      </c>
      <c r="H38" s="39" t="n"/>
      <c r="I38" s="40">
        <f>IF(OR(G38="",H38=""),"",ROUND((H38-G38)*1440,0))</f>
        <v/>
      </c>
      <c r="J38" s="19">
        <f>IF(OR(E38="",H38=""),"",IF(H38&gt;0,ROUND(E38/(H38*24),1),0))</f>
        <v/>
      </c>
      <c r="K38" s="26" t="n"/>
      <c r="L38" s="29" t="n"/>
      <c r="M38" s="5" t="n"/>
      <c r="N38" s="28" t="n"/>
    </row>
    <row r="39">
      <c r="B39" s="33" t="n"/>
      <c r="C39" s="28" t="n"/>
      <c r="D39" s="36">
        <f>IF(C39="","",IFERROR(VLOOKUP(C39,Rutas!$B$8:$D$47,2,FALSE),""))</f>
        <v/>
      </c>
      <c r="E39" s="18">
        <f>IF(C39="","",IFERROR(VLOOKUP(C39,Rutas!$B$8:$D$47,3,FALSE),""))</f>
        <v/>
      </c>
      <c r="F39" s="22">
        <f>IF(C39="","",IFERROR(VLOOKUP(C39,Rutas!$B$8:$E$47,4,FALSE),""))</f>
        <v/>
      </c>
      <c r="G39" s="32">
        <f>IF(C39="","",IFERROR(INDEX(Rutas!$G$8:$G$47,MATCH(C39,Rutas!$B$8:$B$47,0)),""))</f>
        <v/>
      </c>
      <c r="H39" s="39" t="n"/>
      <c r="I39" s="40">
        <f>IF(OR(G39="",H39=""),"",ROUND((H39-G39)*1440,0))</f>
        <v/>
      </c>
      <c r="J39" s="19">
        <f>IF(OR(E39="",H39=""),"",IF(H39&gt;0,ROUND(E39/(H39*24),1),0))</f>
        <v/>
      </c>
      <c r="K39" s="26" t="n"/>
      <c r="L39" s="29" t="n"/>
      <c r="M39" s="5" t="n"/>
      <c r="N39" s="28" t="n"/>
    </row>
    <row r="40">
      <c r="B40" s="33" t="n"/>
      <c r="C40" s="28" t="n"/>
      <c r="D40" s="36">
        <f>IF(C40="","",IFERROR(VLOOKUP(C40,Rutas!$B$8:$D$47,2,FALSE),""))</f>
        <v/>
      </c>
      <c r="E40" s="18">
        <f>IF(C40="","",IFERROR(VLOOKUP(C40,Rutas!$B$8:$D$47,3,FALSE),""))</f>
        <v/>
      </c>
      <c r="F40" s="22">
        <f>IF(C40="","",IFERROR(VLOOKUP(C40,Rutas!$B$8:$E$47,4,FALSE),""))</f>
        <v/>
      </c>
      <c r="G40" s="32">
        <f>IF(C40="","",IFERROR(INDEX(Rutas!$G$8:$G$47,MATCH(C40,Rutas!$B$8:$B$47,0)),""))</f>
        <v/>
      </c>
      <c r="H40" s="39" t="n"/>
      <c r="I40" s="40">
        <f>IF(OR(G40="",H40=""),"",ROUND((H40-G40)*1440,0))</f>
        <v/>
      </c>
      <c r="J40" s="19">
        <f>IF(OR(E40="",H40=""),"",IF(H40&gt;0,ROUND(E40/(H40*24),1),0))</f>
        <v/>
      </c>
      <c r="K40" s="26" t="n"/>
      <c r="L40" s="29" t="n"/>
      <c r="M40" s="5" t="n"/>
      <c r="N40" s="28" t="n"/>
    </row>
    <row r="41">
      <c r="B41" s="33" t="n"/>
      <c r="C41" s="28" t="n"/>
      <c r="D41" s="36">
        <f>IF(C41="","",IFERROR(VLOOKUP(C41,Rutas!$B$8:$D$47,2,FALSE),""))</f>
        <v/>
      </c>
      <c r="E41" s="18">
        <f>IF(C41="","",IFERROR(VLOOKUP(C41,Rutas!$B$8:$D$47,3,FALSE),""))</f>
        <v/>
      </c>
      <c r="F41" s="22">
        <f>IF(C41="","",IFERROR(VLOOKUP(C41,Rutas!$B$8:$E$47,4,FALSE),""))</f>
        <v/>
      </c>
      <c r="G41" s="32">
        <f>IF(C41="","",IFERROR(INDEX(Rutas!$G$8:$G$47,MATCH(C41,Rutas!$B$8:$B$47,0)),""))</f>
        <v/>
      </c>
      <c r="H41" s="39" t="n"/>
      <c r="I41" s="40">
        <f>IF(OR(G41="",H41=""),"",ROUND((H41-G41)*1440,0))</f>
        <v/>
      </c>
      <c r="J41" s="19">
        <f>IF(OR(E41="",H41=""),"",IF(H41&gt;0,ROUND(E41/(H41*24),1),0))</f>
        <v/>
      </c>
      <c r="K41" s="26" t="n"/>
      <c r="L41" s="29" t="n"/>
      <c r="M41" s="5" t="n"/>
      <c r="N41" s="28" t="n"/>
    </row>
    <row r="42">
      <c r="B42" s="33" t="n"/>
      <c r="C42" s="28" t="n"/>
      <c r="D42" s="36">
        <f>IF(C42="","",IFERROR(VLOOKUP(C42,Rutas!$B$8:$D$47,2,FALSE),""))</f>
        <v/>
      </c>
      <c r="E42" s="18">
        <f>IF(C42="","",IFERROR(VLOOKUP(C42,Rutas!$B$8:$D$47,3,FALSE),""))</f>
        <v/>
      </c>
      <c r="F42" s="22">
        <f>IF(C42="","",IFERROR(VLOOKUP(C42,Rutas!$B$8:$E$47,4,FALSE),""))</f>
        <v/>
      </c>
      <c r="G42" s="32">
        <f>IF(C42="","",IFERROR(INDEX(Rutas!$G$8:$G$47,MATCH(C42,Rutas!$B$8:$B$47,0)),""))</f>
        <v/>
      </c>
      <c r="H42" s="39" t="n"/>
      <c r="I42" s="40">
        <f>IF(OR(G42="",H42=""),"",ROUND((H42-G42)*1440,0))</f>
        <v/>
      </c>
      <c r="J42" s="19">
        <f>IF(OR(E42="",H42=""),"",IF(H42&gt;0,ROUND(E42/(H42*24),1),0))</f>
        <v/>
      </c>
      <c r="K42" s="26" t="n"/>
      <c r="L42" s="29" t="n"/>
      <c r="M42" s="5" t="n"/>
      <c r="N42" s="28" t="n"/>
    </row>
    <row r="43">
      <c r="B43" s="33" t="n"/>
      <c r="C43" s="28" t="n"/>
      <c r="D43" s="36">
        <f>IF(C43="","",IFERROR(VLOOKUP(C43,Rutas!$B$8:$D$47,2,FALSE),""))</f>
        <v/>
      </c>
      <c r="E43" s="18">
        <f>IF(C43="","",IFERROR(VLOOKUP(C43,Rutas!$B$8:$D$47,3,FALSE),""))</f>
        <v/>
      </c>
      <c r="F43" s="22">
        <f>IF(C43="","",IFERROR(VLOOKUP(C43,Rutas!$B$8:$E$47,4,FALSE),""))</f>
        <v/>
      </c>
      <c r="G43" s="32">
        <f>IF(C43="","",IFERROR(INDEX(Rutas!$G$8:$G$47,MATCH(C43,Rutas!$B$8:$B$47,0)),""))</f>
        <v/>
      </c>
      <c r="H43" s="39" t="n"/>
      <c r="I43" s="40">
        <f>IF(OR(G43="",H43=""),"",ROUND((H43-G43)*1440,0))</f>
        <v/>
      </c>
      <c r="J43" s="19">
        <f>IF(OR(E43="",H43=""),"",IF(H43&gt;0,ROUND(E43/(H43*24),1),0))</f>
        <v/>
      </c>
      <c r="K43" s="26" t="n"/>
      <c r="L43" s="29" t="n"/>
      <c r="M43" s="5" t="n"/>
      <c r="N43" s="28" t="n"/>
    </row>
    <row r="44">
      <c r="B44" s="33" t="n"/>
      <c r="C44" s="28" t="n"/>
      <c r="D44" s="36">
        <f>IF(C44="","",IFERROR(VLOOKUP(C44,Rutas!$B$8:$D$47,2,FALSE),""))</f>
        <v/>
      </c>
      <c r="E44" s="18">
        <f>IF(C44="","",IFERROR(VLOOKUP(C44,Rutas!$B$8:$D$47,3,FALSE),""))</f>
        <v/>
      </c>
      <c r="F44" s="22">
        <f>IF(C44="","",IFERROR(VLOOKUP(C44,Rutas!$B$8:$E$47,4,FALSE),""))</f>
        <v/>
      </c>
      <c r="G44" s="32">
        <f>IF(C44="","",IFERROR(INDEX(Rutas!$G$8:$G$47,MATCH(C44,Rutas!$B$8:$B$47,0)),""))</f>
        <v/>
      </c>
      <c r="H44" s="39" t="n"/>
      <c r="I44" s="40">
        <f>IF(OR(G44="",H44=""),"",ROUND((H44-G44)*1440,0))</f>
        <v/>
      </c>
      <c r="J44" s="19">
        <f>IF(OR(E44="",H44=""),"",IF(H44&gt;0,ROUND(E44/(H44*24),1),0))</f>
        <v/>
      </c>
      <c r="K44" s="26" t="n"/>
      <c r="L44" s="29" t="n"/>
      <c r="M44" s="5" t="n"/>
      <c r="N44" s="28" t="n"/>
    </row>
    <row r="45">
      <c r="B45" s="33" t="n"/>
      <c r="C45" s="28" t="n"/>
      <c r="D45" s="36">
        <f>IF(C45="","",IFERROR(VLOOKUP(C45,Rutas!$B$8:$D$47,2,FALSE),""))</f>
        <v/>
      </c>
      <c r="E45" s="18">
        <f>IF(C45="","",IFERROR(VLOOKUP(C45,Rutas!$B$8:$D$47,3,FALSE),""))</f>
        <v/>
      </c>
      <c r="F45" s="22">
        <f>IF(C45="","",IFERROR(VLOOKUP(C45,Rutas!$B$8:$E$47,4,FALSE),""))</f>
        <v/>
      </c>
      <c r="G45" s="32">
        <f>IF(C45="","",IFERROR(INDEX(Rutas!$G$8:$G$47,MATCH(C45,Rutas!$B$8:$B$47,0)),""))</f>
        <v/>
      </c>
      <c r="H45" s="39" t="n"/>
      <c r="I45" s="40">
        <f>IF(OR(G45="",H45=""),"",ROUND((H45-G45)*1440,0))</f>
        <v/>
      </c>
      <c r="J45" s="19">
        <f>IF(OR(E45="",H45=""),"",IF(H45&gt;0,ROUND(E45/(H45*24),1),0))</f>
        <v/>
      </c>
      <c r="K45" s="26" t="n"/>
      <c r="L45" s="29" t="n"/>
      <c r="M45" s="5" t="n"/>
      <c r="N45" s="28" t="n"/>
    </row>
    <row r="46">
      <c r="B46" s="33" t="n"/>
      <c r="C46" s="28" t="n"/>
      <c r="D46" s="36">
        <f>IF(C46="","",IFERROR(VLOOKUP(C46,Rutas!$B$8:$D$47,2,FALSE),""))</f>
        <v/>
      </c>
      <c r="E46" s="18">
        <f>IF(C46="","",IFERROR(VLOOKUP(C46,Rutas!$B$8:$D$47,3,FALSE),""))</f>
        <v/>
      </c>
      <c r="F46" s="22">
        <f>IF(C46="","",IFERROR(VLOOKUP(C46,Rutas!$B$8:$E$47,4,FALSE),""))</f>
        <v/>
      </c>
      <c r="G46" s="32">
        <f>IF(C46="","",IFERROR(INDEX(Rutas!$G$8:$G$47,MATCH(C46,Rutas!$B$8:$B$47,0)),""))</f>
        <v/>
      </c>
      <c r="H46" s="39" t="n"/>
      <c r="I46" s="40">
        <f>IF(OR(G46="",H46=""),"",ROUND((H46-G46)*1440,0))</f>
        <v/>
      </c>
      <c r="J46" s="19">
        <f>IF(OR(E46="",H46=""),"",IF(H46&gt;0,ROUND(E46/(H46*24),1),0))</f>
        <v/>
      </c>
      <c r="K46" s="26" t="n"/>
      <c r="L46" s="29" t="n"/>
      <c r="M46" s="5" t="n"/>
      <c r="N46" s="28" t="n"/>
    </row>
    <row r="47">
      <c r="B47" s="33" t="n"/>
      <c r="C47" s="28" t="n"/>
      <c r="D47" s="36">
        <f>IF(C47="","",IFERROR(VLOOKUP(C47,Rutas!$B$8:$D$47,2,FALSE),""))</f>
        <v/>
      </c>
      <c r="E47" s="18">
        <f>IF(C47="","",IFERROR(VLOOKUP(C47,Rutas!$B$8:$D$47,3,FALSE),""))</f>
        <v/>
      </c>
      <c r="F47" s="22">
        <f>IF(C47="","",IFERROR(VLOOKUP(C47,Rutas!$B$8:$E$47,4,FALSE),""))</f>
        <v/>
      </c>
      <c r="G47" s="32">
        <f>IF(C47="","",IFERROR(INDEX(Rutas!$G$8:$G$47,MATCH(C47,Rutas!$B$8:$B$47,0)),""))</f>
        <v/>
      </c>
      <c r="H47" s="39" t="n"/>
      <c r="I47" s="40">
        <f>IF(OR(G47="",H47=""),"",ROUND((H47-G47)*1440,0))</f>
        <v/>
      </c>
      <c r="J47" s="19">
        <f>IF(OR(E47="",H47=""),"",IF(H47&gt;0,ROUND(E47/(H47*24),1),0))</f>
        <v/>
      </c>
      <c r="K47" s="26" t="n"/>
      <c r="L47" s="29" t="n"/>
      <c r="M47" s="5" t="n"/>
      <c r="N47" s="28" t="n"/>
    </row>
    <row r="48">
      <c r="B48" s="4" t="inlineStr">
        <is>
          <t>TOTAL</t>
        </is>
      </c>
      <c r="E48" s="21">
        <f>SUM(E8:E47)</f>
        <v/>
      </c>
      <c r="F48" s="20">
        <f>SUM(F8:F47)</f>
        <v/>
      </c>
      <c r="G48" s="38">
        <f>SUM(G8:G47)</f>
        <v/>
      </c>
      <c r="H48" s="38">
        <f>SUM(H8:H47)</f>
        <v/>
      </c>
      <c r="J48" s="21">
        <f>IF(H48&gt;0,ROUND(E48/(H48*24),1),0)</f>
        <v/>
      </c>
      <c r="M48" s="21">
        <f>IF(COUNT(M8:M47)=0,0,ROUND(AVERAGE(M8:M47),1))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N3"/>
    <mergeCell ref="B2:N2"/>
  </mergeCells>
  <conditionalFormatting sqref="E8:E47">
    <cfRule type="dataBar" priority="1">
      <dataBar>
        <cfvo type="num" val="0"/>
        <cfvo type="max"/>
        <color rgb="0010B981"/>
      </dataBar>
    </cfRule>
  </conditionalFormatting>
  <conditionalFormatting sqref="I8:I47">
    <cfRule type="expression" priority="2" dxfId="0">
      <formula>AND(ISNUMBER($I8),$I8&gt;15)</formula>
    </cfRule>
  </conditionalFormatting>
  <conditionalFormatting sqref="M8:M47">
    <cfRule type="expression" priority="3" dxfId="1">
      <formula>AND(ISNUMBER($M8),$M8&gt;=5)</formula>
    </cfRule>
  </conditionalFormatting>
  <conditionalFormatting sqref="D8:D47">
    <cfRule type="cellIs" priority="4" operator="equal" dxfId="2">
      <formula>"Muy difícil"</formula>
    </cfRule>
    <cfRule type="cellIs" priority="5" operator="equal" dxfId="2">
      <formula>"Difícil"</formula>
    </cfRule>
    <cfRule type="cellIs" priority="6" operator="equal" dxfId="1">
      <formula>"Fácil"</formula>
    </cfRule>
  </conditionalFormatting>
  <dataValidations count="3">
    <dataValidation sqref="C8:C47" showDropDown="0" showInputMessage="0" showErrorMessage="0" allowBlank="1" type="list">
      <formula1>=Rutas!$B$8:$B$47</formula1>
    </dataValidation>
    <dataValidation sqref="L8:L47" showDropDown="0" showInputMessage="0" showErrorMessage="0" allowBlank="1" type="list">
      <formula1>=Listas!$D$2:$D$8</formula1>
    </dataValidation>
    <dataValidation sqref="M8:M47" showDropDown="0" showInputMessage="0" showErrorMessage="0" allowBlank="1" error="Escribe un número del 1 al 5" type="whole" operator="between">
      <formula1>1</formula1>
      <formula2>5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FBBF24"/>
    <outlinePr summaryBelow="1" summaryRight="1"/>
    <pageSetUpPr fitToPage="1"/>
  </sheetPr>
  <dimension ref="B2:I40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2" customWidth="1" min="2" max="2"/>
    <col width="20" customWidth="1" min="3" max="3"/>
    <col width="11" customWidth="1" min="4" max="4"/>
    <col width="10" customWidth="1" min="5" max="5"/>
    <col width="11" customWidth="1" min="6" max="6"/>
    <col width="10" customWidth="1" min="7" max="7"/>
    <col width="12" customWidth="1" min="8" max="8"/>
    <col width="11" customWidth="1" min="9" max="9"/>
  </cols>
  <sheetData>
    <row r="2" ht="34" customHeight="1">
      <c r="B2" s="1" t="inlineStr">
        <is>
          <t>Material necesario según la dificultad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Marca con «x» qué llevar en cada nivel y si ya lo tienes: te dice el peso y lo que te falta</t>
        </is>
      </c>
    </row>
    <row r="5">
      <c r="B5" s="23" t="inlineStr">
        <is>
          <t>Escribe una «x» en los niveles en los que ese artículo es imprescindible. Peso en gramos.</t>
        </is>
      </c>
    </row>
    <row r="7" ht="30" customHeight="1">
      <c r="B7" s="15" t="inlineStr">
        <is>
          <t>Artículo</t>
        </is>
      </c>
      <c r="C7" s="15" t="inlineStr">
        <is>
          <t>Categoría</t>
        </is>
      </c>
      <c r="D7" s="15" t="inlineStr">
        <is>
          <t>¿Lo tengo?</t>
        </is>
      </c>
      <c r="E7" s="15" t="inlineStr">
        <is>
          <t>Fácil</t>
        </is>
      </c>
      <c r="F7" s="15" t="inlineStr">
        <is>
          <t>Moderada</t>
        </is>
      </c>
      <c r="G7" s="15" t="inlineStr">
        <is>
          <t>Difícil</t>
        </is>
      </c>
      <c r="H7" s="15" t="inlineStr">
        <is>
          <t>Muy difícil</t>
        </is>
      </c>
      <c r="I7" s="15" t="inlineStr">
        <is>
          <t>Peso (g)</t>
        </is>
      </c>
    </row>
    <row r="8">
      <c r="B8" s="28" t="inlineStr">
        <is>
          <t>Botas o zapatillas de trekking</t>
        </is>
      </c>
      <c r="C8" s="28" t="inlineStr">
        <is>
          <t>Calzado</t>
        </is>
      </c>
      <c r="D8" s="29" t="inlineStr">
        <is>
          <t>Sí</t>
        </is>
      </c>
      <c r="E8" s="29" t="inlineStr">
        <is>
          <t>x</t>
        </is>
      </c>
      <c r="F8" s="29" t="inlineStr">
        <is>
          <t>x</t>
        </is>
      </c>
      <c r="G8" s="29" t="inlineStr">
        <is>
          <t>x</t>
        </is>
      </c>
      <c r="H8" s="29" t="inlineStr">
        <is>
          <t>x</t>
        </is>
      </c>
      <c r="I8" s="31" t="n">
        <v>900</v>
      </c>
    </row>
    <row r="9">
      <c r="B9" s="28" t="inlineStr">
        <is>
          <t>Calcetines técnicos de repuesto</t>
        </is>
      </c>
      <c r="C9" s="28" t="inlineStr">
        <is>
          <t>Ropa</t>
        </is>
      </c>
      <c r="D9" s="29" t="inlineStr">
        <is>
          <t>Sí</t>
        </is>
      </c>
      <c r="E9" s="29" t="n"/>
      <c r="F9" s="29" t="inlineStr">
        <is>
          <t>x</t>
        </is>
      </c>
      <c r="G9" s="29" t="inlineStr">
        <is>
          <t>x</t>
        </is>
      </c>
      <c r="H9" s="29" t="inlineStr">
        <is>
          <t>x</t>
        </is>
      </c>
      <c r="I9" s="31" t="n">
        <v>80</v>
      </c>
    </row>
    <row r="10">
      <c r="B10" s="28" t="inlineStr">
        <is>
          <t>Camiseta transpirable</t>
        </is>
      </c>
      <c r="C10" s="28" t="inlineStr">
        <is>
          <t>Ropa</t>
        </is>
      </c>
      <c r="D10" s="29" t="inlineStr">
        <is>
          <t>Sí</t>
        </is>
      </c>
      <c r="E10" s="29" t="inlineStr">
        <is>
          <t>x</t>
        </is>
      </c>
      <c r="F10" s="29" t="inlineStr">
        <is>
          <t>x</t>
        </is>
      </c>
      <c r="G10" s="29" t="inlineStr">
        <is>
          <t>x</t>
        </is>
      </c>
      <c r="H10" s="29" t="inlineStr">
        <is>
          <t>x</t>
        </is>
      </c>
      <c r="I10" s="31" t="n">
        <v>150</v>
      </c>
    </row>
    <row r="11">
      <c r="B11" s="28" t="inlineStr">
        <is>
          <t>Chaqueta cortavientos</t>
        </is>
      </c>
      <c r="C11" s="28" t="inlineStr">
        <is>
          <t>Ropa</t>
        </is>
      </c>
      <c r="D11" s="29" t="inlineStr">
        <is>
          <t>Sí</t>
        </is>
      </c>
      <c r="E11" s="29" t="inlineStr">
        <is>
          <t>x</t>
        </is>
      </c>
      <c r="F11" s="29" t="inlineStr">
        <is>
          <t>x</t>
        </is>
      </c>
      <c r="G11" s="29" t="inlineStr">
        <is>
          <t>x</t>
        </is>
      </c>
      <c r="H11" s="29" t="inlineStr">
        <is>
          <t>x</t>
        </is>
      </c>
      <c r="I11" s="31" t="n">
        <v>250</v>
      </c>
    </row>
    <row r="12">
      <c r="B12" s="28" t="inlineStr">
        <is>
          <t>Chaqueta impermeable</t>
        </is>
      </c>
      <c r="C12" s="28" t="inlineStr">
        <is>
          <t>Ropa</t>
        </is>
      </c>
      <c r="D12" s="29" t="inlineStr">
        <is>
          <t>Sí</t>
        </is>
      </c>
      <c r="E12" s="29" t="n"/>
      <c r="F12" s="29" t="inlineStr">
        <is>
          <t>x</t>
        </is>
      </c>
      <c r="G12" s="29" t="inlineStr">
        <is>
          <t>x</t>
        </is>
      </c>
      <c r="H12" s="29" t="inlineStr">
        <is>
          <t>x</t>
        </is>
      </c>
      <c r="I12" s="31" t="n">
        <v>400</v>
      </c>
    </row>
    <row r="13">
      <c r="B13" s="28" t="inlineStr">
        <is>
          <t>Forro polar</t>
        </is>
      </c>
      <c r="C13" s="28" t="inlineStr">
        <is>
          <t>Ropa</t>
        </is>
      </c>
      <c r="D13" s="29" t="inlineStr">
        <is>
          <t>Sí</t>
        </is>
      </c>
      <c r="E13" s="29" t="n"/>
      <c r="F13" s="29" t="inlineStr">
        <is>
          <t>x</t>
        </is>
      </c>
      <c r="G13" s="29" t="inlineStr">
        <is>
          <t>x</t>
        </is>
      </c>
      <c r="H13" s="29" t="inlineStr">
        <is>
          <t>x</t>
        </is>
      </c>
      <c r="I13" s="31" t="n">
        <v>350</v>
      </c>
    </row>
    <row r="14">
      <c r="B14" s="28" t="inlineStr">
        <is>
          <t>Gorra o gorro</t>
        </is>
      </c>
      <c r="C14" s="28" t="inlineStr">
        <is>
          <t>Ropa</t>
        </is>
      </c>
      <c r="D14" s="29" t="inlineStr">
        <is>
          <t>Sí</t>
        </is>
      </c>
      <c r="E14" s="29" t="inlineStr">
        <is>
          <t>x</t>
        </is>
      </c>
      <c r="F14" s="29" t="inlineStr">
        <is>
          <t>x</t>
        </is>
      </c>
      <c r="G14" s="29" t="inlineStr">
        <is>
          <t>x</t>
        </is>
      </c>
      <c r="H14" s="29" t="inlineStr">
        <is>
          <t>x</t>
        </is>
      </c>
      <c r="I14" s="31" t="n">
        <v>80</v>
      </c>
    </row>
    <row r="15">
      <c r="B15" s="28" t="inlineStr">
        <is>
          <t>Guantes finos</t>
        </is>
      </c>
      <c r="C15" s="28" t="inlineStr">
        <is>
          <t>Ropa</t>
        </is>
      </c>
      <c r="D15" s="29" t="inlineStr">
        <is>
          <t>No</t>
        </is>
      </c>
      <c r="E15" s="29" t="n"/>
      <c r="F15" s="29" t="n"/>
      <c r="G15" s="29" t="inlineStr">
        <is>
          <t>x</t>
        </is>
      </c>
      <c r="H15" s="29" t="inlineStr">
        <is>
          <t>x</t>
        </is>
      </c>
      <c r="I15" s="31" t="n">
        <v>90</v>
      </c>
    </row>
    <row r="16">
      <c r="B16" s="28" t="inlineStr">
        <is>
          <t>Mochila de 20-30 litros</t>
        </is>
      </c>
      <c r="C16" s="28" t="inlineStr">
        <is>
          <t>Mochila</t>
        </is>
      </c>
      <c r="D16" s="29" t="inlineStr">
        <is>
          <t>Sí</t>
        </is>
      </c>
      <c r="E16" s="29" t="inlineStr">
        <is>
          <t>x</t>
        </is>
      </c>
      <c r="F16" s="29" t="inlineStr">
        <is>
          <t>x</t>
        </is>
      </c>
      <c r="G16" s="29" t="inlineStr">
        <is>
          <t>x</t>
        </is>
      </c>
      <c r="H16" s="29" t="inlineStr">
        <is>
          <t>x</t>
        </is>
      </c>
      <c r="I16" s="31" t="n">
        <v>800</v>
      </c>
    </row>
    <row r="17">
      <c r="B17" s="28" t="inlineStr">
        <is>
          <t>Agua (1,5 litros)</t>
        </is>
      </c>
      <c r="C17" s="28" t="inlineStr">
        <is>
          <t>Hidratación y comida</t>
        </is>
      </c>
      <c r="D17" s="29" t="inlineStr">
        <is>
          <t>Sí</t>
        </is>
      </c>
      <c r="E17" s="29" t="inlineStr">
        <is>
          <t>x</t>
        </is>
      </c>
      <c r="F17" s="29" t="inlineStr">
        <is>
          <t>x</t>
        </is>
      </c>
      <c r="G17" s="29" t="inlineStr">
        <is>
          <t>x</t>
        </is>
      </c>
      <c r="H17" s="29" t="inlineStr">
        <is>
          <t>x</t>
        </is>
      </c>
      <c r="I17" s="31" t="n">
        <v>1500</v>
      </c>
    </row>
    <row r="18">
      <c r="B18" s="28" t="inlineStr">
        <is>
          <t>Agua adicional (1 litro)</t>
        </is>
      </c>
      <c r="C18" s="28" t="inlineStr">
        <is>
          <t>Hidratación y comida</t>
        </is>
      </c>
      <c r="D18" s="29" t="inlineStr">
        <is>
          <t>Sí</t>
        </is>
      </c>
      <c r="E18" s="29" t="n"/>
      <c r="F18" s="29" t="inlineStr">
        <is>
          <t>x</t>
        </is>
      </c>
      <c r="G18" s="29" t="inlineStr">
        <is>
          <t>x</t>
        </is>
      </c>
      <c r="H18" s="29" t="inlineStr">
        <is>
          <t>x</t>
        </is>
      </c>
      <c r="I18" s="31" t="n">
        <v>1000</v>
      </c>
    </row>
    <row r="19">
      <c r="B19" s="28" t="inlineStr">
        <is>
          <t>Frutos secos y barritas</t>
        </is>
      </c>
      <c r="C19" s="28" t="inlineStr">
        <is>
          <t>Hidratación y comida</t>
        </is>
      </c>
      <c r="D19" s="29" t="inlineStr">
        <is>
          <t>Sí</t>
        </is>
      </c>
      <c r="E19" s="29" t="inlineStr">
        <is>
          <t>x</t>
        </is>
      </c>
      <c r="F19" s="29" t="inlineStr">
        <is>
          <t>x</t>
        </is>
      </c>
      <c r="G19" s="29" t="inlineStr">
        <is>
          <t>x</t>
        </is>
      </c>
      <c r="H19" s="29" t="inlineStr">
        <is>
          <t>x</t>
        </is>
      </c>
      <c r="I19" s="31" t="n">
        <v>300</v>
      </c>
    </row>
    <row r="20">
      <c r="B20" s="28" t="inlineStr">
        <is>
          <t>Bastones de trekking</t>
        </is>
      </c>
      <c r="C20" s="28" t="inlineStr">
        <is>
          <t>Otros</t>
        </is>
      </c>
      <c r="D20" s="29" t="inlineStr">
        <is>
          <t>No</t>
        </is>
      </c>
      <c r="E20" s="29" t="n"/>
      <c r="F20" s="29" t="inlineStr">
        <is>
          <t>x</t>
        </is>
      </c>
      <c r="G20" s="29" t="inlineStr">
        <is>
          <t>x</t>
        </is>
      </c>
      <c r="H20" s="29" t="inlineStr">
        <is>
          <t>x</t>
        </is>
      </c>
      <c r="I20" s="31" t="n">
        <v>500</v>
      </c>
    </row>
    <row r="21">
      <c r="B21" s="28" t="inlineStr">
        <is>
          <t>Track GPX descargado en el móvil</t>
        </is>
      </c>
      <c r="C21" s="28" t="inlineStr">
        <is>
          <t>Orientación</t>
        </is>
      </c>
      <c r="D21" s="29" t="inlineStr">
        <is>
          <t>Sí</t>
        </is>
      </c>
      <c r="E21" s="29" t="inlineStr">
        <is>
          <t>x</t>
        </is>
      </c>
      <c r="F21" s="29" t="inlineStr">
        <is>
          <t>x</t>
        </is>
      </c>
      <c r="G21" s="29" t="inlineStr">
        <is>
          <t>x</t>
        </is>
      </c>
      <c r="H21" s="29" t="inlineStr">
        <is>
          <t>x</t>
        </is>
      </c>
      <c r="I21" s="31" t="n">
        <v>0</v>
      </c>
    </row>
    <row r="22">
      <c r="B22" s="28" t="inlineStr">
        <is>
          <t>Batería externa</t>
        </is>
      </c>
      <c r="C22" s="28" t="inlineStr">
        <is>
          <t>Orientación</t>
        </is>
      </c>
      <c r="D22" s="29" t="inlineStr">
        <is>
          <t>No</t>
        </is>
      </c>
      <c r="E22" s="29" t="n"/>
      <c r="F22" s="29" t="inlineStr">
        <is>
          <t>x</t>
        </is>
      </c>
      <c r="G22" s="29" t="inlineStr">
        <is>
          <t>x</t>
        </is>
      </c>
      <c r="H22" s="29" t="inlineStr">
        <is>
          <t>x</t>
        </is>
      </c>
      <c r="I22" s="31" t="n">
        <v>250</v>
      </c>
    </row>
    <row r="23">
      <c r="B23" s="28" t="inlineStr">
        <is>
          <t>Mapa y brújula</t>
        </is>
      </c>
      <c r="C23" s="28" t="inlineStr">
        <is>
          <t>Orientación</t>
        </is>
      </c>
      <c r="D23" s="29" t="inlineStr">
        <is>
          <t>No</t>
        </is>
      </c>
      <c r="E23" s="29" t="n"/>
      <c r="F23" s="29" t="n"/>
      <c r="G23" s="29" t="inlineStr">
        <is>
          <t>x</t>
        </is>
      </c>
      <c r="H23" s="29" t="inlineStr">
        <is>
          <t>x</t>
        </is>
      </c>
      <c r="I23" s="31" t="n">
        <v>150</v>
      </c>
    </row>
    <row r="24">
      <c r="B24" s="28" t="inlineStr">
        <is>
          <t>Linterna frontal</t>
        </is>
      </c>
      <c r="C24" s="28" t="inlineStr">
        <is>
          <t>Seguridad</t>
        </is>
      </c>
      <c r="D24" s="29" t="inlineStr">
        <is>
          <t>Sí</t>
        </is>
      </c>
      <c r="E24" s="29" t="n"/>
      <c r="F24" s="29" t="n"/>
      <c r="G24" s="29" t="inlineStr">
        <is>
          <t>x</t>
        </is>
      </c>
      <c r="H24" s="29" t="inlineStr">
        <is>
          <t>x</t>
        </is>
      </c>
      <c r="I24" s="31" t="n">
        <v>90</v>
      </c>
    </row>
    <row r="25">
      <c r="B25" s="28" t="inlineStr">
        <is>
          <t>Botiquín básico</t>
        </is>
      </c>
      <c r="C25" s="28" t="inlineStr">
        <is>
          <t>Seguridad</t>
        </is>
      </c>
      <c r="D25" s="29" t="inlineStr">
        <is>
          <t>Sí</t>
        </is>
      </c>
      <c r="E25" s="29" t="inlineStr">
        <is>
          <t>x</t>
        </is>
      </c>
      <c r="F25" s="29" t="inlineStr">
        <is>
          <t>x</t>
        </is>
      </c>
      <c r="G25" s="29" t="inlineStr">
        <is>
          <t>x</t>
        </is>
      </c>
      <c r="H25" s="29" t="inlineStr">
        <is>
          <t>x</t>
        </is>
      </c>
      <c r="I25" s="31" t="n">
        <v>200</v>
      </c>
    </row>
    <row r="26">
      <c r="B26" s="28" t="inlineStr">
        <is>
          <t>Manta térmica de emergencia</t>
        </is>
      </c>
      <c r="C26" s="28" t="inlineStr">
        <is>
          <t>Seguridad</t>
        </is>
      </c>
      <c r="D26" s="29" t="inlineStr">
        <is>
          <t>No</t>
        </is>
      </c>
      <c r="E26" s="29" t="n"/>
      <c r="F26" s="29" t="n"/>
      <c r="G26" s="29" t="inlineStr">
        <is>
          <t>x</t>
        </is>
      </c>
      <c r="H26" s="29" t="inlineStr">
        <is>
          <t>x</t>
        </is>
      </c>
      <c r="I26" s="31" t="n">
        <v>60</v>
      </c>
    </row>
    <row r="27">
      <c r="B27" s="28" t="inlineStr">
        <is>
          <t>Crema solar y gafas de sol</t>
        </is>
      </c>
      <c r="C27" s="28" t="inlineStr">
        <is>
          <t>Protección</t>
        </is>
      </c>
      <c r="D27" s="29" t="inlineStr">
        <is>
          <t>Sí</t>
        </is>
      </c>
      <c r="E27" s="29" t="inlineStr">
        <is>
          <t>x</t>
        </is>
      </c>
      <c r="F27" s="29" t="inlineStr">
        <is>
          <t>x</t>
        </is>
      </c>
      <c r="G27" s="29" t="inlineStr">
        <is>
          <t>x</t>
        </is>
      </c>
      <c r="H27" s="29" t="inlineStr">
        <is>
          <t>x</t>
        </is>
      </c>
      <c r="I27" s="31" t="n">
        <v>150</v>
      </c>
    </row>
    <row r="28">
      <c r="B28" s="28" t="n"/>
      <c r="C28" s="28" t="n"/>
      <c r="D28" s="29" t="n"/>
      <c r="E28" s="29" t="n"/>
      <c r="F28" s="29" t="n"/>
      <c r="G28" s="29" t="n"/>
      <c r="H28" s="29" t="n"/>
      <c r="I28" s="31" t="n"/>
    </row>
    <row r="29">
      <c r="B29" s="28" t="n"/>
      <c r="C29" s="28" t="n"/>
      <c r="D29" s="29" t="n"/>
      <c r="E29" s="29" t="n"/>
      <c r="F29" s="29" t="n"/>
      <c r="G29" s="29" t="n"/>
      <c r="H29" s="29" t="n"/>
      <c r="I29" s="31" t="n"/>
    </row>
    <row r="30">
      <c r="B30" s="28" t="n"/>
      <c r="C30" s="28" t="n"/>
      <c r="D30" s="29" t="n"/>
      <c r="E30" s="29" t="n"/>
      <c r="F30" s="29" t="n"/>
      <c r="G30" s="29" t="n"/>
      <c r="H30" s="29" t="n"/>
      <c r="I30" s="31" t="n"/>
    </row>
    <row r="31">
      <c r="B31" s="28" t="n"/>
      <c r="C31" s="28" t="n"/>
      <c r="D31" s="29" t="n"/>
      <c r="E31" s="29" t="n"/>
      <c r="F31" s="29" t="n"/>
      <c r="G31" s="29" t="n"/>
      <c r="H31" s="29" t="n"/>
      <c r="I31" s="31" t="n"/>
    </row>
    <row r="32">
      <c r="B32" s="28" t="n"/>
      <c r="C32" s="28" t="n"/>
      <c r="D32" s="29" t="n"/>
      <c r="E32" s="29" t="n"/>
      <c r="F32" s="29" t="n"/>
      <c r="G32" s="29" t="n"/>
      <c r="H32" s="29" t="n"/>
      <c r="I32" s="31" t="n"/>
    </row>
    <row r="33">
      <c r="B33" s="28" t="n"/>
      <c r="C33" s="28" t="n"/>
      <c r="D33" s="29" t="n"/>
      <c r="E33" s="29" t="n"/>
      <c r="F33" s="29" t="n"/>
      <c r="G33" s="29" t="n"/>
      <c r="H33" s="29" t="n"/>
      <c r="I33" s="31" t="n"/>
    </row>
    <row r="34">
      <c r="B34" s="28" t="n"/>
      <c r="C34" s="28" t="n"/>
      <c r="D34" s="29" t="n"/>
      <c r="E34" s="29" t="n"/>
      <c r="F34" s="29" t="n"/>
      <c r="G34" s="29" t="n"/>
      <c r="H34" s="29" t="n"/>
      <c r="I34" s="31" t="n"/>
    </row>
    <row r="35">
      <c r="B35" s="28" t="n"/>
      <c r="C35" s="28" t="n"/>
      <c r="D35" s="29" t="n"/>
      <c r="E35" s="29" t="n"/>
      <c r="F35" s="29" t="n"/>
      <c r="G35" s="29" t="n"/>
      <c r="H35" s="29" t="n"/>
      <c r="I35" s="31" t="n"/>
    </row>
    <row r="36">
      <c r="B36" s="28" t="n"/>
      <c r="C36" s="28" t="n"/>
      <c r="D36" s="29" t="n"/>
      <c r="E36" s="29" t="n"/>
      <c r="F36" s="29" t="n"/>
      <c r="G36" s="29" t="n"/>
      <c r="H36" s="29" t="n"/>
      <c r="I36" s="31" t="n"/>
    </row>
    <row r="37">
      <c r="B37" s="28" t="n"/>
      <c r="C37" s="28" t="n"/>
      <c r="D37" s="29" t="n"/>
      <c r="E37" s="29" t="n"/>
      <c r="F37" s="29" t="n"/>
      <c r="G37" s="29" t="n"/>
      <c r="H37" s="29" t="n"/>
      <c r="I37" s="31" t="n"/>
    </row>
    <row r="38">
      <c r="B38" s="4" t="inlineStr">
        <is>
          <t>Nº de artículos imprescindibles</t>
        </is>
      </c>
      <c r="E38" s="20">
        <f>COUNTIF(E8:E37,"x")</f>
        <v/>
      </c>
      <c r="F38" s="20">
        <f>COUNTIF(F8:F37,"x")</f>
        <v/>
      </c>
      <c r="G38" s="20">
        <f>COUNTIF(G8:G37,"x")</f>
        <v/>
      </c>
      <c r="H38" s="20">
        <f>COUNTIF(H8:H37,"x")</f>
        <v/>
      </c>
    </row>
    <row r="39">
      <c r="B39" s="4" t="inlineStr">
        <is>
          <t>Peso de la mochila (kg)</t>
        </is>
      </c>
      <c r="E39" s="21">
        <f>ROUND(SUMPRODUCT((E8:E37="x")*$I$8:$I$37)/1000,1)</f>
        <v/>
      </c>
      <c r="F39" s="21">
        <f>ROUND(SUMPRODUCT((F8:F37="x")*$I$8:$I$37)/1000,1)</f>
        <v/>
      </c>
      <c r="G39" s="21">
        <f>ROUND(SUMPRODUCT((G8:G37="x")*$I$8:$I$37)/1000,1)</f>
        <v/>
      </c>
      <c r="H39" s="21">
        <f>ROUND(SUMPRODUCT((H8:H37="x")*$I$8:$I$37)/1000,1)</f>
        <v/>
      </c>
    </row>
    <row r="40">
      <c r="B40" s="4" t="inlineStr">
        <is>
          <t>Artículos que me faltan</t>
        </is>
      </c>
      <c r="E40" s="20">
        <f>SUMPRODUCT((E8:E37="x")*($D$8:$D$37="No"))</f>
        <v/>
      </c>
      <c r="F40" s="20">
        <f>SUMPRODUCT((F8:F37="x")*($D$8:$D$37="No"))</f>
        <v/>
      </c>
      <c r="G40" s="20">
        <f>SUMPRODUCT((G8:G37="x")*($D$8:$D$37="No"))</f>
        <v/>
      </c>
      <c r="H40" s="20">
        <f>SUMPRODUCT((H8:H37="x")*($D$8:$D$37="No"))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D8:D37">
    <cfRule type="cellIs" priority="1" operator="equal" dxfId="2">
      <formula>"No"</formula>
    </cfRule>
  </conditionalFormatting>
  <conditionalFormatting sqref="E8:H37">
    <cfRule type="cellIs" priority="2" operator="equal" dxfId="1">
      <formula>"x"</formula>
    </cfRule>
  </conditionalFormatting>
  <conditionalFormatting sqref="B8:C37">
    <cfRule type="expression" priority="3" dxfId="3">
      <formula>MOD(ROW(),2)=0</formula>
    </cfRule>
  </conditionalFormatting>
  <conditionalFormatting sqref="E40:H40">
    <cfRule type="expression" priority="4" dxfId="0">
      <formula>E40&gt;0</formula>
    </cfRule>
  </conditionalFormatting>
  <dataValidations count="2">
    <dataValidation sqref="C8:C37" showDropDown="0" showInputMessage="0" showErrorMessage="0" allowBlank="1" type="list">
      <formula1>=Listas!$E$2:$E$9</formula1>
    </dataValidation>
    <dataValidation sqref="D8:D37" showDropDown="0" showInputMessage="0" showErrorMessage="0" allowBlank="1" type="list">
      <formula1>"Sí,No"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Planificador de rutas de senderismo — Instrucciones</t>
        </is>
      </c>
    </row>
    <row r="3">
      <c r="B3" s="3" t="inlineStr">
        <is>
          <t>Plantilla gratuita de Plantillas de Cálculo · plantillasdecalculo.com</t>
        </is>
      </c>
    </row>
    <row r="5">
      <c r="B5" s="14" t="inlineStr">
        <is>
          <t>CÓMO USARLA</t>
        </is>
      </c>
    </row>
    <row r="6" ht="30" customHeight="1">
      <c r="B6" s="41" t="inlineStr">
        <is>
          <t>1.  En «Rutas» ajusta arriba tu ritmo (celdas C4 a M4): km/h en llano, metros de subida y bajada por hora, % de paradas y los índices que separan una ruta suave, media o exigente.</t>
        </is>
      </c>
    </row>
    <row r="7" ht="30" customHeight="1">
      <c r="B7" s="41" t="inlineStr">
        <is>
          <t>2.  Anota cada ruta desde la fila 8: nombre, dificultad (desplegable), distancia en km, desnivel positivo y negativo en metros, tipo, zona, fecha y estado.</t>
        </is>
      </c>
    </row>
    <row r="8" ht="30" customHeight="1">
      <c r="B8" s="41" t="inlineStr">
        <is>
          <t>3.  Las columnas verdes calculan solas el tiempo estimado, la hora de llegada (si indicas la de salida), el índice de esfuerzo, el nivel y los días que faltan.</t>
        </is>
      </c>
    </row>
    <row r="9" ht="30" customHeight="1">
      <c r="B9" s="41" t="inlineStr">
        <is>
          <t>4.  En «Material» marca con una «x» qué llevar en cada nivel de dificultad, indica si ya lo tienes (Sí/No) y su peso en gramos.</t>
        </is>
      </c>
    </row>
    <row r="10" ht="30" customHeight="1">
      <c r="B10" s="41" t="inlineStr">
        <is>
          <t>5.  Las columnas «Material» y «Me faltan» de «Rutas» te dicen cuántos artículos exige cada ruta y cuántos te faltan por tener.</t>
        </is>
      </c>
    </row>
    <row r="11" ht="30" customHeight="1">
      <c r="B11" s="41" t="inlineStr">
        <is>
          <t>6.  Después de cada salida, ve a «Realizadas», escribe la fecha, elige la ruta y apunta el tiempo real, las personas, el clima y tu valoración del 1 al 5.</t>
        </is>
      </c>
    </row>
    <row r="12" ht="30" customHeight="1">
      <c r="B12" s="41" t="inlineStr">
        <is>
          <t>7.  En «Resumen» cambia el año (C5) y revisa los KPIs, el desglose por dificultad y por mes, la próxima salida y los gráficos.</t>
        </is>
      </c>
    </row>
    <row r="14">
      <c r="B14" s="14" t="inlineStr">
        <is>
          <t>CONSEJOS</t>
        </is>
      </c>
    </row>
    <row r="15" ht="30" customHeight="1">
      <c r="B15" s="41" t="inlineStr">
        <is>
          <t>•  El tiempo estimado suma km ÷ velocidad en llano + subida ÷ ritmo de subida + bajada ÷ ritmo de bajada, y añade el % de paradas. Compáralo con tu tiempo real en «Realizadas» y ajusta los parámetros.</t>
        </is>
      </c>
    </row>
    <row r="16" ht="30" customHeight="1">
      <c r="B16" s="41" t="inlineStr">
        <is>
          <t>•  El índice de esfuerzo es km + desnivel positivo ÷ 100 (los llamados km-esfuerzo): sirve para comparar rutas entre sí, no es una medida oficial.</t>
        </is>
      </c>
    </row>
    <row r="17" ht="30" customHeight="1">
      <c r="B17" s="41" t="inlineStr">
        <is>
          <t>•  Las filas vacías (hasta la 47) ya tienen las fórmulas puestas: solo hay que rellenar las celdas crema.</t>
        </is>
      </c>
    </row>
    <row r="18" ht="30" customHeight="1">
      <c r="B18" s="41" t="inlineStr">
        <is>
          <t>•  Para que una ruta cuente en «Realizadas», el nombre debe coincidir con el de «Rutas»: usa el desplegable.</t>
        </is>
      </c>
    </row>
    <row r="19" ht="30" customHeight="1">
      <c r="B19" s="41" t="inlineStr">
        <is>
          <t>•  Las hojas están protegidas sin contraseña (Revisar &gt; Desproteger hoja) por si quieres modificar fórmulas.</t>
        </is>
      </c>
    </row>
    <row r="21">
      <c r="B21" s="23" t="inlineStr">
        <is>
          <t>Las celdas con fondo crema y texto azul son para rellenar; las verdes se calculan solas.</t>
        </is>
      </c>
    </row>
    <row r="23" ht="44" customHeight="1">
      <c r="B23" s="42" t="inlineStr">
        <is>
          <t>Aviso: esta plantilla es una herramienta orientativa de organización. Los tiempos y niveles de esfuerzo son estimaciones editables, no valores oficiales. Antes de salir consulta el parte meteorológico, la señalización y la información oficial de la ruta, y adapta el plan a tu condición física. No sustituye a un guía de montaña ni al consejo de un profesional.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Dificultad</t>
        </is>
      </c>
      <c r="B1" t="inlineStr">
        <is>
          <t>Tipo</t>
        </is>
      </c>
      <c r="C1" t="inlineStr">
        <is>
          <t>Estado</t>
        </is>
      </c>
      <c r="D1" t="inlineStr">
        <is>
          <t>Clima</t>
        </is>
      </c>
      <c r="E1" t="inlineStr">
        <is>
          <t>Categoría</t>
        </is>
      </c>
    </row>
    <row r="2">
      <c r="A2" t="inlineStr">
        <is>
          <t>Fácil</t>
        </is>
      </c>
      <c r="B2" t="inlineStr">
        <is>
          <t>Circular</t>
        </is>
      </c>
      <c r="C2" t="inlineStr">
        <is>
          <t>Pendiente</t>
        </is>
      </c>
      <c r="D2" t="inlineStr">
        <is>
          <t>Despejado</t>
        </is>
      </c>
      <c r="E2" t="inlineStr">
        <is>
          <t>Calzado</t>
        </is>
      </c>
    </row>
    <row r="3">
      <c r="A3" t="inlineStr">
        <is>
          <t>Moderada</t>
        </is>
      </c>
      <c r="B3" t="inlineStr">
        <is>
          <t>Lineal</t>
        </is>
      </c>
      <c r="C3" t="inlineStr">
        <is>
          <t>Planificada</t>
        </is>
      </c>
      <c r="D3" t="inlineStr">
        <is>
          <t>Nublado</t>
        </is>
      </c>
      <c r="E3" t="inlineStr">
        <is>
          <t>Ropa</t>
        </is>
      </c>
    </row>
    <row r="4">
      <c r="A4" t="inlineStr">
        <is>
          <t>Difícil</t>
        </is>
      </c>
      <c r="B4" t="inlineStr">
        <is>
          <t>Ida y vuelta</t>
        </is>
      </c>
      <c r="C4" t="inlineStr">
        <is>
          <t>Hecha</t>
        </is>
      </c>
      <c r="D4" t="inlineStr">
        <is>
          <t>Viento</t>
        </is>
      </c>
      <c r="E4" t="inlineStr">
        <is>
          <t>Mochila</t>
        </is>
      </c>
    </row>
    <row r="5">
      <c r="A5" t="inlineStr">
        <is>
          <t>Muy difícil</t>
        </is>
      </c>
      <c r="D5" t="inlineStr">
        <is>
          <t>Lluvia</t>
        </is>
      </c>
      <c r="E5" t="inlineStr">
        <is>
          <t>Hidratación y comida</t>
        </is>
      </c>
    </row>
    <row r="6">
      <c r="D6" t="inlineStr">
        <is>
          <t>Niebla</t>
        </is>
      </c>
      <c r="E6" t="inlineStr">
        <is>
          <t>Orientación</t>
        </is>
      </c>
    </row>
    <row r="7">
      <c r="D7" t="inlineStr">
        <is>
          <t>Nieve</t>
        </is>
      </c>
      <c r="E7" t="inlineStr">
        <is>
          <t>Seguridad</t>
        </is>
      </c>
    </row>
    <row r="8">
      <c r="D8" t="inlineStr">
        <is>
          <t>Calor</t>
        </is>
      </c>
      <c r="E8" t="inlineStr">
        <is>
          <t>Protección</t>
        </is>
      </c>
    </row>
    <row r="9">
      <c r="E9" t="inlineStr">
        <is>
          <t>Otros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2026-10-03T09:44:51Z</dcterms:created>
  <dcterms:modified xmlns:dcterms="http://purl.org/dc/terms/" xmlns:xsi="http://www.w3.org/2001/XMLSchema-instance" xsi:type="dcterms:W3CDTF">2026-10-03T09:44:51Z</dcterms:modified>
</cp:coreProperties>
</file>