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Hipoteca" sheetId="3" state="visible" r:id="rId3"/>
    <sheet xmlns:r="http://schemas.openxmlformats.org/officeDocument/2006/relationships" name="Ahorro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0.0%"/>
    <numFmt numFmtId="166" formatCode="yyyy-mm-dd"/>
    <numFmt numFmtId="167" formatCode="dd/mm/yyyy"/>
    <numFmt numFmtId="168" formatCode="+0.0%;-0.0%;0.0%"/>
    <numFmt numFmtId="169" formatCode="mmm 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6B7280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64" fontId="13" fillId="6" borderId="0" applyAlignment="1" pivotButton="0" quotePrefix="0" xfId="0">
      <alignment horizontal="center" vertical="center"/>
    </xf>
    <xf numFmtId="165" fontId="13" fillId="6" borderId="0" applyAlignment="1" pivotButton="0" quotePrefix="0" xfId="0">
      <alignment horizontal="center" vertical="center"/>
    </xf>
    <xf numFmtId="169" fontId="13" fillId="6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/>
    </xf>
    <xf numFmtId="164" fontId="10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5" fillId="4" borderId="1" applyAlignment="1" applyProtection="1" pivotButton="0" quotePrefix="0" xfId="0">
      <alignment horizontal="center" vertical="center"/>
      <protection locked="0" hidden="0"/>
    </xf>
    <xf numFmtId="164" fontId="5" fillId="4" borderId="1" applyAlignment="1" applyProtection="1" pivotButton="0" quotePrefix="0" xfId="0">
      <alignment vertical="center"/>
      <protection locked="0" hidden="0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10" fontId="5" fillId="4" borderId="1" applyAlignment="1" applyProtection="1" pivotButton="0" quotePrefix="0" xfId="0">
      <alignment horizontal="center" vertical="center"/>
      <protection locked="0" hidden="0"/>
    </xf>
    <xf numFmtId="1" fontId="5" fillId="4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applyProtection="1" pivotButton="0" quotePrefix="0" xfId="0">
      <alignment vertical="center"/>
      <protection locked="0" hidden="0"/>
    </xf>
    <xf numFmtId="164" fontId="8" fillId="5" borderId="1" applyAlignment="1" pivotButton="0" quotePrefix="0" xfId="0">
      <alignment vertical="center"/>
    </xf>
    <xf numFmtId="165" fontId="5" fillId="4" borderId="1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horizontal="center" vertical="center"/>
    </xf>
    <xf numFmtId="10" fontId="5" fillId="4" borderId="1" applyAlignment="1" applyProtection="1" pivotButton="0" quotePrefix="0" xfId="0">
      <alignment vertical="center"/>
      <protection locked="0" hidden="0"/>
    </xf>
    <xf numFmtId="167" fontId="5" fillId="4" borderId="1" applyAlignment="1" applyProtection="1" pivotButton="0" quotePrefix="0" xfId="0">
      <alignment horizontal="center" vertical="center"/>
      <protection locked="0" hidden="0"/>
    </xf>
    <xf numFmtId="10" fontId="10" fillId="0" borderId="1" applyAlignment="1" pivotButton="0" quotePrefix="0" xfId="0">
      <alignment vertical="center"/>
    </xf>
    <xf numFmtId="1" fontId="10" fillId="0" borderId="1" applyAlignment="1" pivotButton="0" quotePrefix="0" xfId="0">
      <alignment horizontal="center" vertical="center"/>
    </xf>
    <xf numFmtId="168" fontId="5" fillId="4" borderId="1" applyAlignment="1" applyProtection="1" pivotButton="0" quotePrefix="0" xfId="0">
      <alignment horizontal="center" vertical="center"/>
      <protection locked="0" hidden="0"/>
    </xf>
    <xf numFmtId="10" fontId="11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4" fontId="11" fillId="0" borderId="1" applyAlignment="1" pivotButton="0" quotePrefix="0" xfId="0">
      <alignment vertical="center"/>
    </xf>
    <xf numFmtId="165" fontId="11" fillId="0" borderId="1" applyAlignment="1" pivotButton="0" quotePrefix="0" xfId="0">
      <alignment vertical="center"/>
    </xf>
    <xf numFmtId="1" fontId="11" fillId="0" borderId="1" applyAlignment="1" pivotButton="0" quotePrefix="0" xfId="0">
      <alignment horizontal="center" vertical="center"/>
    </xf>
    <xf numFmtId="169" fontId="11" fillId="0" borderId="1" applyAlignment="1" pivotButton="0" quotePrefix="0" xfId="0">
      <alignment horizontal="center" vertical="center"/>
    </xf>
    <xf numFmtId="169" fontId="10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de cada oferta: entrada, gastos, hipoteca e intereses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'Panel'!C28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'Panel'!$B$29:$B$30</f>
            </numRef>
          </cat>
          <val>
            <numRef>
              <f>'Panel'!$C$29:$C$30</f>
            </numRef>
          </val>
        </ser>
        <ser>
          <idx val="1"/>
          <order val="1"/>
          <tx>
            <strRef>
              <f>'Panel'!D28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'Panel'!$B$29:$B$30</f>
            </numRef>
          </cat>
          <val>
            <numRef>
              <f>'Panel'!$D$29:$D$30</f>
            </numRef>
          </val>
        </ser>
        <ser>
          <idx val="2"/>
          <order val="2"/>
          <tx>
            <strRef>
              <f>'Panel'!E28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'Panel'!$B$29:$B$30</f>
            </numRef>
          </cat>
          <val>
            <numRef>
              <f>'Panel'!$E$29:$E$30</f>
            </numRef>
          </val>
        </ser>
        <ser>
          <idx val="3"/>
          <order val="3"/>
          <tx>
            <strRef>
              <f>'Panel'!F28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'Panel'!$B$29:$B$30</f>
            </numRef>
          </cat>
          <val>
            <numRef>
              <f>'Panel'!$F$29:$F$30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Intereses y capital pagados cada año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'Hipoteca'!D25</f>
            </strRef>
          </tx>
          <spPr>
            <a:ln xmlns:a="http://schemas.openxmlformats.org/drawingml/2006/main">
              <a:prstDash val="solid"/>
            </a:ln>
          </spPr>
          <cat>
            <numRef>
              <f>'Hipoteca'!$B$26:$B$65</f>
            </numRef>
          </cat>
          <val>
            <numRef>
              <f>'Hipoteca'!$D$26:$D$65</f>
            </numRef>
          </val>
        </ser>
        <ser>
          <idx val="1"/>
          <order val="1"/>
          <tx>
            <strRef>
              <f>'Hipoteca'!E25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'Hipoteca'!$B$26:$B$65</f>
            </numRef>
          </cat>
          <val>
            <numRef>
              <f>'Hipoteca'!$E$26:$E$65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Ahorro acumulado frente al efectivo necesario</a:t>
            </a:r>
          </a:p>
        </rich>
      </tx>
    </title>
    <plotArea>
      <lineChart>
        <grouping val="standard"/>
        <ser>
          <idx val="0"/>
          <order val="0"/>
          <tx>
            <strRef>
              <f>'Ahorro'!F16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'Ahorro'!$C$17:$C$56</f>
            </numRef>
          </cat>
          <val>
            <numRef>
              <f>'Ahorro'!$F$17:$F$56</f>
            </numRef>
          </val>
        </ser>
        <ser>
          <idx val="1"/>
          <order val="1"/>
          <tx>
            <strRef>
              <f>'Ahorro'!G16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'Ahorro'!$C$17:$C$56</f>
            </numRef>
          </cat>
          <val>
            <numRef>
              <f>'Ahorro'!$G$17:$G$56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10</col>
      <colOff>0</colOff>
      <row>4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I3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7" customWidth="1" min="3" max="3"/>
    <col width="17" customWidth="1" min="4" max="4"/>
    <col width="20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2" ht="34" customHeight="1">
      <c r="B2" s="1" t="inlineStr">
        <is>
          <t>Panel de tu compra de vivienda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de la oferta de referencia y comparación de las dos ofertas.</t>
        </is>
      </c>
    </row>
    <row r="5" ht="28" customHeight="1">
      <c r="B5" s="4" t="inlineStr">
        <is>
          <t>EFECTIVO NECESARIO</t>
        </is>
      </c>
      <c r="D5" s="4" t="inlineStr">
        <is>
          <t>CUOTA HIPOTECARIA MENSUAL</t>
        </is>
      </c>
      <c r="F5" s="4" t="inlineStr">
        <is>
          <t>RATIO CUOTA/INGRESOS</t>
        </is>
      </c>
      <c r="H5" s="4" t="inlineStr">
        <is>
          <t>AHORRO MENSUAL NECESARIO</t>
        </is>
      </c>
    </row>
    <row r="6" ht="38" customHeight="1">
      <c r="B6" s="5">
        <f>Ahorro!D6</f>
        <v/>
      </c>
      <c r="D6" s="5">
        <f>IF(Datos!C43="A",Datos!C55,Datos!D55)</f>
        <v/>
      </c>
      <c r="F6" s="6">
        <f>IF(Datos!C43="A",Datos!C59,Datos!D59)</f>
        <v/>
      </c>
      <c r="H6" s="5">
        <f>Ahorro!D11</f>
        <v/>
      </c>
    </row>
    <row r="8" ht="28" customHeight="1">
      <c r="B8" s="4" t="inlineStr">
        <is>
          <t>AHORRO ACTUAL / NECESARIO</t>
        </is>
      </c>
      <c r="D8" s="4" t="inlineStr">
        <is>
          <t>FALTA POR AHORRAR</t>
        </is>
      </c>
      <c r="F8" s="4" t="inlineStr">
        <is>
          <t>COSTE TOTAL DE LA COMPRA</t>
        </is>
      </c>
      <c r="H8" s="4" t="inlineStr">
        <is>
          <t>MES EN QUE LLEGAS</t>
        </is>
      </c>
    </row>
    <row r="9" ht="38" customHeight="1">
      <c r="B9" s="6">
        <f>IF(Ahorro!D6&gt;0,MIN(1,Ahorro!D7/Ahorro!D6),0)</f>
        <v/>
      </c>
      <c r="D9" s="5">
        <f>IF(Datos!C43="A",Datos!C62,Datos!D62)</f>
        <v/>
      </c>
      <c r="F9" s="5">
        <f>IF(Datos!C43="A",Datos!C57,Datos!D57)</f>
        <v/>
      </c>
      <c r="H9" s="7">
        <f>Ahorro!D12</f>
        <v/>
      </c>
    </row>
    <row r="10">
      <c r="B10" s="8">
        <f>"Oferta de referencia: "&amp;Datos!C43&amp;" ("&amp;IF(Datos!C43="A",Datos!C6,Datos!D6)&amp;"). Cámbiala en Datos!C43."</f>
        <v/>
      </c>
    </row>
    <row r="12">
      <c r="B12" s="9" t="inlineStr">
        <is>
          <t>COMPARACIÓN DE LAS DOS OFERTAS</t>
        </is>
      </c>
    </row>
    <row r="13" ht="28" customHeight="1">
      <c r="B13" s="10" t="inlineStr">
        <is>
          <t>Concepto</t>
        </is>
      </c>
      <c r="C13" s="10" t="inlineStr">
        <is>
          <t>Oferta A</t>
        </is>
      </c>
      <c r="D13" s="10" t="inlineStr">
        <is>
          <t>Oferta B</t>
        </is>
      </c>
      <c r="E13" s="10" t="inlineStr">
        <is>
          <t>Diferencia (B − A)</t>
        </is>
      </c>
      <c r="F13" s="10" t="inlineStr">
        <is>
          <t>Menor en</t>
        </is>
      </c>
    </row>
    <row r="14">
      <c r="B14" s="11" t="inlineStr">
        <is>
          <t>Precio de compraventa</t>
        </is>
      </c>
      <c r="C14" s="12">
        <f>Datos!C7</f>
        <v/>
      </c>
      <c r="D14" s="12">
        <f>Datos!D7</f>
        <v/>
      </c>
      <c r="E14" s="12">
        <f>IF(AND(ISNUMBER(C14),ISNUMBER(D14)),D14-C14,"")</f>
        <v/>
      </c>
      <c r="F14" s="13">
        <f>IF(AND(ISNUMBER(C14),ISNUMBER(D14)),IF(C14&lt;D14,"Oferta A",IF(D14&lt;C14,"Oferta B","Igual")),"")</f>
        <v/>
      </c>
    </row>
    <row r="15">
      <c r="B15" s="11" t="inlineStr">
        <is>
          <t>Total gastos iniciales</t>
        </is>
      </c>
      <c r="C15" s="12">
        <f>Datos!C51</f>
        <v/>
      </c>
      <c r="D15" s="12">
        <f>Datos!D51</f>
        <v/>
      </c>
      <c r="E15" s="12">
        <f>IF(AND(ISNUMBER(C15),ISNUMBER(D15)),D15-C15,"")</f>
        <v/>
      </c>
      <c r="F15" s="13">
        <f>IF(AND(ISNUMBER(C15),ISNUMBER(D15)),IF(C15&lt;D15,"Oferta A",IF(D15&lt;C15,"Oferta B","Igual")),"")</f>
        <v/>
      </c>
    </row>
    <row r="16">
      <c r="B16" s="11" t="inlineStr">
        <is>
          <t>Entrada</t>
        </is>
      </c>
      <c r="C16" s="12">
        <f>Datos!C53</f>
        <v/>
      </c>
      <c r="D16" s="12">
        <f>Datos!D53</f>
        <v/>
      </c>
      <c r="E16" s="12">
        <f>IF(AND(ISNUMBER(C16),ISNUMBER(D16)),D16-C16,"")</f>
        <v/>
      </c>
      <c r="F16" s="13">
        <f>IF(AND(ISNUMBER(C16),ISNUMBER(D16)),IF(C16&lt;D16,"Oferta A",IF(D16&lt;C16,"Oferta B","Igual")),"")</f>
        <v/>
      </c>
    </row>
    <row r="17">
      <c r="B17" s="11" t="inlineStr">
        <is>
          <t>Efectivo necesario</t>
        </is>
      </c>
      <c r="C17" s="12">
        <f>Datos!C54</f>
        <v/>
      </c>
      <c r="D17" s="12">
        <f>Datos!D54</f>
        <v/>
      </c>
      <c r="E17" s="12">
        <f>IF(AND(ISNUMBER(C17),ISNUMBER(D17)),D17-C17,"")</f>
        <v/>
      </c>
      <c r="F17" s="13">
        <f>IF(AND(ISNUMBER(C17),ISNUMBER(D17)),IF(C17&lt;D17,"Oferta A",IF(D17&lt;C17,"Oferta B","Igual")),"")</f>
        <v/>
      </c>
    </row>
    <row r="18">
      <c r="B18" s="11" t="inlineStr">
        <is>
          <t>Importe de la hipoteca</t>
        </is>
      </c>
      <c r="C18" s="12">
        <f>Datos!C52</f>
        <v/>
      </c>
      <c r="D18" s="12">
        <f>Datos!D52</f>
        <v/>
      </c>
      <c r="E18" s="12">
        <f>IF(AND(ISNUMBER(C18),ISNUMBER(D18)),D18-C18,"")</f>
        <v/>
      </c>
      <c r="F18" s="13">
        <f>IF(AND(ISNUMBER(C18),ISNUMBER(D18)),IF(C18&lt;D18,"Oferta A",IF(D18&lt;C18,"Oferta B","Igual")),"")</f>
        <v/>
      </c>
    </row>
    <row r="19">
      <c r="B19" s="11" t="inlineStr">
        <is>
          <t>Cuota hipotecaria mensual</t>
        </is>
      </c>
      <c r="C19" s="12">
        <f>Datos!C55</f>
        <v/>
      </c>
      <c r="D19" s="12">
        <f>Datos!D55</f>
        <v/>
      </c>
      <c r="E19" s="12">
        <f>IF(AND(ISNUMBER(C19),ISNUMBER(D19)),D19-C19,"")</f>
        <v/>
      </c>
      <c r="F19" s="13">
        <f>IF(AND(ISNUMBER(C19),ISNUMBER(D19)),IF(C19&lt;D19,"Oferta A",IF(D19&lt;C19,"Oferta B","Igual")),"")</f>
        <v/>
      </c>
    </row>
    <row r="20">
      <c r="B20" s="11" t="inlineStr">
        <is>
          <t>Intereses totales</t>
        </is>
      </c>
      <c r="C20" s="12">
        <f>Datos!C56</f>
        <v/>
      </c>
      <c r="D20" s="12">
        <f>Datos!D56</f>
        <v/>
      </c>
      <c r="E20" s="12">
        <f>IF(AND(ISNUMBER(C20),ISNUMBER(D20)),D20-C20,"")</f>
        <v/>
      </c>
      <c r="F20" s="13">
        <f>IF(AND(ISNUMBER(C20),ISNUMBER(D20)),IF(C20&lt;D20,"Oferta A",IF(D20&lt;C20,"Oferta B","Igual")),"")</f>
        <v/>
      </c>
    </row>
    <row r="21">
      <c r="B21" s="11" t="inlineStr">
        <is>
          <t>Coste total de la compra</t>
        </is>
      </c>
      <c r="C21" s="12">
        <f>Datos!C57</f>
        <v/>
      </c>
      <c r="D21" s="12">
        <f>Datos!D57</f>
        <v/>
      </c>
      <c r="E21" s="12">
        <f>IF(AND(ISNUMBER(C21),ISNUMBER(D21)),D21-C21,"")</f>
        <v/>
      </c>
      <c r="F21" s="13">
        <f>IF(AND(ISNUMBER(C21),ISNUMBER(D21)),IF(C21&lt;D21,"Oferta A",IF(D21&lt;C21,"Oferta B","Igual")),"")</f>
        <v/>
      </c>
    </row>
    <row r="22">
      <c r="B22" s="11" t="inlineStr">
        <is>
          <t>Gasto mensual de vivienda</t>
        </is>
      </c>
      <c r="C22" s="12">
        <f>Datos!C58</f>
        <v/>
      </c>
      <c r="D22" s="12">
        <f>Datos!D58</f>
        <v/>
      </c>
      <c r="E22" s="12">
        <f>IF(AND(ISNUMBER(C22),ISNUMBER(D22)),D22-C22,"")</f>
        <v/>
      </c>
      <c r="F22" s="13">
        <f>IF(AND(ISNUMBER(C22),ISNUMBER(D22)),IF(C22&lt;D22,"Oferta A",IF(D22&lt;C22,"Oferta B","Igual")),"")</f>
        <v/>
      </c>
    </row>
    <row r="23">
      <c r="B23" s="11" t="inlineStr">
        <is>
          <t>Ratio cuota/ingresos</t>
        </is>
      </c>
      <c r="C23" s="14">
        <f>Datos!C59</f>
        <v/>
      </c>
      <c r="D23" s="14">
        <f>Datos!D59</f>
        <v/>
      </c>
      <c r="E23" s="14">
        <f>IF(AND(ISNUMBER(C23),ISNUMBER(D23)),D23-C23,"")</f>
        <v/>
      </c>
      <c r="F23" s="13">
        <f>IF(AND(ISNUMBER(C23),ISNUMBER(D23)),IF(C23&lt;D23,"Oferta A",IF(D23&lt;C23,"Oferta B","Igual")),"")</f>
        <v/>
      </c>
    </row>
    <row r="24">
      <c r="B24" s="11" t="inlineStr">
        <is>
          <t>Ahorro mensual necesario</t>
        </is>
      </c>
      <c r="C24" s="12">
        <f>Datos!C64</f>
        <v/>
      </c>
      <c r="D24" s="12">
        <f>Datos!D64</f>
        <v/>
      </c>
      <c r="E24" s="12">
        <f>IF(AND(ISNUMBER(C24),ISNUMBER(D24)),D24-C24,"")</f>
        <v/>
      </c>
      <c r="F24" s="13">
        <f>IF(AND(ISNUMBER(C24),ISNUMBER(D24)),IF(C24&lt;D24,"Oferta A",IF(D24&lt;C24,"Oferta B","Igual")),"")</f>
        <v/>
      </c>
    </row>
    <row r="25">
      <c r="B25" s="11" t="inlineStr">
        <is>
          <t>Valoración de la cuota</t>
        </is>
      </c>
      <c r="C25" s="15">
        <f>Datos!C61</f>
        <v/>
      </c>
      <c r="D25" s="15">
        <f>Datos!D61</f>
        <v/>
      </c>
    </row>
    <row r="27">
      <c r="B27" s="9" t="inlineStr">
        <is>
          <t>DÓNDE VA EL DINERO EN CADA OFERTA (datos del gráfico)</t>
        </is>
      </c>
    </row>
    <row r="28" ht="28" customHeight="1">
      <c r="B28" s="10" t="inlineStr">
        <is>
          <t>Oferta</t>
        </is>
      </c>
      <c r="C28" s="10" t="inlineStr">
        <is>
          <t>Entrada</t>
        </is>
      </c>
      <c r="D28" s="10" t="inlineStr">
        <is>
          <t>Gastos iniciales</t>
        </is>
      </c>
      <c r="E28" s="10" t="inlineStr">
        <is>
          <t>Capital hipotecado</t>
        </is>
      </c>
      <c r="F28" s="10" t="inlineStr">
        <is>
          <t>Intereses totales</t>
        </is>
      </c>
    </row>
    <row r="29">
      <c r="B29" s="16" t="inlineStr">
        <is>
          <t>Oferta A</t>
        </is>
      </c>
      <c r="C29" s="12">
        <f>Datos!C53</f>
        <v/>
      </c>
      <c r="D29" s="12">
        <f>Datos!C51</f>
        <v/>
      </c>
      <c r="E29" s="12">
        <f>Datos!C52</f>
        <v/>
      </c>
      <c r="F29" s="12">
        <f>Datos!C56</f>
        <v/>
      </c>
    </row>
    <row r="30">
      <c r="B30" s="16" t="inlineStr">
        <is>
          <t>Oferta B</t>
        </is>
      </c>
      <c r="C30" s="12">
        <f>Datos!D53</f>
        <v/>
      </c>
      <c r="D30" s="12">
        <f>Datos!D51</f>
        <v/>
      </c>
      <c r="E30" s="12">
        <f>Datos!D52</f>
        <v/>
      </c>
      <c r="F30" s="12">
        <f>Datos!D56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9">
    <mergeCell ref="B3:I3"/>
    <mergeCell ref="F6:G6"/>
    <mergeCell ref="H9:I9"/>
    <mergeCell ref="D6:E6"/>
    <mergeCell ref="H6:I6"/>
    <mergeCell ref="B2:I2"/>
    <mergeCell ref="F5:G5"/>
    <mergeCell ref="B8:C8"/>
    <mergeCell ref="F8:G8"/>
    <mergeCell ref="B10:I10"/>
    <mergeCell ref="B9:C9"/>
    <mergeCell ref="D9:E9"/>
    <mergeCell ref="F9:G9"/>
    <mergeCell ref="D8:E8"/>
    <mergeCell ref="B6:C6"/>
    <mergeCell ref="B5:C5"/>
    <mergeCell ref="D5:E5"/>
    <mergeCell ref="H5:I5"/>
    <mergeCell ref="H8:I8"/>
  </mergeCells>
  <conditionalFormatting sqref="F6:G6">
    <cfRule type="expression" priority="1" dxfId="0">
      <formula>AND(ISNUMBER(F6),F6&gt;Datos!$C$42)</formula>
    </cfRule>
  </conditionalFormatting>
  <conditionalFormatting sqref="B14:F24">
    <cfRule type="expression" priority="2" dxfId="1">
      <formula>MOD(ROW(),2)=0</formula>
    </cfRule>
  </conditionalFormatting>
  <conditionalFormatting sqref="F14:F24">
    <cfRule type="cellIs" priority="3" operator="equal" dxfId="2">
      <formula>"Oferta A"</formula>
    </cfRule>
    <cfRule type="cellIs" priority="4" operator="equal" dxfId="3">
      <formula>"Oferta B"</formula>
    </cfRule>
  </conditionalFormatting>
  <conditionalFormatting sqref="C25:D25">
    <cfRule type="cellIs" priority="5" operator="equal" dxfId="2">
      <formula>"Dentro del límite"</formula>
    </cfRule>
    <cfRule type="cellIs" priority="6" operator="equal" dxfId="0">
      <formula>"Por encima del límite"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E66"/>
  <sheetViews>
    <sheetView showGridLines="0"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44" customWidth="1" min="2" max="2"/>
    <col width="19" customWidth="1" min="3" max="3"/>
    <col width="19" customWidth="1" min="4" max="4"/>
    <col width="62" customWidth="1" min="5" max="5"/>
  </cols>
  <sheetData>
    <row r="2" ht="34" customHeight="1">
      <c r="B2" s="1" t="inlineStr">
        <is>
          <t>Datos de las ofertas y parámetros</t>
        </is>
      </c>
      <c r="C2" s="2" t="n"/>
      <c r="D2" s="2" t="n"/>
      <c r="E2" s="2" t="n"/>
    </row>
    <row r="3">
      <c r="B3" s="3" t="inlineStr">
        <is>
          <t>Rellena las celdas crema con tus cifras. Los importes legales son parámetros editables, no cifras oficiales.</t>
        </is>
      </c>
    </row>
    <row r="5" ht="26" customHeight="1">
      <c r="B5" s="10" t="inlineStr">
        <is>
          <t>Concepto</t>
        </is>
      </c>
      <c r="C5" s="10" t="inlineStr">
        <is>
          <t>Oferta A</t>
        </is>
      </c>
      <c r="D5" s="10" t="inlineStr">
        <is>
          <t>Oferta B</t>
        </is>
      </c>
      <c r="E5" s="10" t="inlineStr">
        <is>
          <t>Nota</t>
        </is>
      </c>
    </row>
    <row r="6">
      <c r="B6" s="11" t="inlineStr">
        <is>
          <t>Descripción de la vivienda</t>
        </is>
      </c>
      <c r="C6" s="17" t="inlineStr">
        <is>
          <t>Piso Centro</t>
        </is>
      </c>
      <c r="D6" s="17" t="inlineStr">
        <is>
          <t>Obra nueva Sur</t>
        </is>
      </c>
      <c r="E6" s="8" t="inlineStr">
        <is>
          <t>Un nombre corto para reconocer cada oferta.</t>
        </is>
      </c>
    </row>
    <row r="7">
      <c r="B7" s="11" t="inlineStr">
        <is>
          <t>Precio de compraventa (€)</t>
        </is>
      </c>
      <c r="C7" s="18" t="n">
        <v>215000</v>
      </c>
      <c r="D7" s="18" t="n">
        <v>248000</v>
      </c>
      <c r="E7" s="8" t="inlineStr">
        <is>
          <t>Precio pactado de la vivienda, sin impuestos ni gastos.</t>
        </is>
      </c>
    </row>
    <row r="8">
      <c r="B8" s="11" t="inlineStr">
        <is>
          <t>Tipo de vivienda</t>
        </is>
      </c>
      <c r="C8" s="17" t="inlineStr">
        <is>
          <t>Segunda mano</t>
        </is>
      </c>
      <c r="D8" s="17" t="inlineStr">
        <is>
          <t>Obra nueva</t>
        </is>
      </c>
      <c r="E8" s="8" t="inlineStr">
        <is>
          <t>Segunda mano aplica el ITP; obra nueva, IVA más AJD (parámetros más abajo).</t>
        </is>
      </c>
    </row>
    <row r="9">
      <c r="B9" s="11" t="inlineStr">
        <is>
          <t>% del precio que financias con hipoteca</t>
        </is>
      </c>
      <c r="C9" s="19" t="n">
        <v>0.8</v>
      </c>
      <c r="D9" s="19" t="n">
        <v>0.8</v>
      </c>
      <c r="E9" s="8" t="inlineStr">
        <is>
          <t>El resto del precio lo pones tú como entrada.</t>
        </is>
      </c>
    </row>
    <row r="10">
      <c r="B10" s="11" t="inlineStr">
        <is>
          <t>Tipo de interés anual (fijo)</t>
        </is>
      </c>
      <c r="C10" s="20" t="n">
        <v>0.03</v>
      </c>
      <c r="D10" s="20" t="n">
        <v>0.029</v>
      </c>
      <c r="E10" s="8" t="inlineStr">
        <is>
          <t>Dato de la oferta del banco o el que quieras simular.</t>
        </is>
      </c>
    </row>
    <row r="11">
      <c r="B11" s="11" t="inlineStr">
        <is>
          <t>Plazo de la hipoteca (años)</t>
        </is>
      </c>
      <c r="C11" s="21" t="n">
        <v>30</v>
      </c>
      <c r="D11" s="21" t="n">
        <v>30</v>
      </c>
      <c r="E11" s="8" t="inlineStr">
        <is>
          <t>Número entero entre 1 y 40.</t>
        </is>
      </c>
    </row>
    <row r="12">
      <c r="B12" s="11" t="inlineStr">
        <is>
          <t>Gastos de comunidad al mes (€)</t>
        </is>
      </c>
      <c r="C12" s="18" t="n">
        <v>60</v>
      </c>
      <c r="D12" s="18" t="n">
        <v>45</v>
      </c>
      <c r="E12" s="8" t="inlineStr">
        <is>
          <t>Cuota mensual aproximada de la comunidad de vecinos.</t>
        </is>
      </c>
    </row>
    <row r="13">
      <c r="B13" s="11" t="inlineStr">
        <is>
          <t>IBI anual (€)</t>
        </is>
      </c>
      <c r="C13" s="18" t="n">
        <v>380</v>
      </c>
      <c r="D13" s="18" t="n">
        <v>320</v>
      </c>
      <c r="E13" s="8" t="inlineStr">
        <is>
          <t>Recibo anual del impuesto de bienes inmuebles (estimación).</t>
        </is>
      </c>
    </row>
    <row r="15">
      <c r="B15" s="9" t="inlineStr">
        <is>
          <t>OTROS GASTOS INICIALES (reforma, mudanza, mobiliario…)</t>
        </is>
      </c>
    </row>
    <row r="16" ht="26" customHeight="1">
      <c r="B16" s="10" t="inlineStr">
        <is>
          <t>Concepto</t>
        </is>
      </c>
      <c r="C16" s="10" t="inlineStr">
        <is>
          <t>Oferta A</t>
        </is>
      </c>
      <c r="D16" s="10" t="inlineStr">
        <is>
          <t>Oferta B</t>
        </is>
      </c>
      <c r="E16" s="10" t="inlineStr">
        <is>
          <t>Nota</t>
        </is>
      </c>
    </row>
    <row r="17">
      <c r="B17" s="22" t="inlineStr">
        <is>
          <t>Pintura y pequeñas reformas</t>
        </is>
      </c>
      <c r="C17" s="18" t="n">
        <v>3500</v>
      </c>
      <c r="D17" s="18" t="n">
        <v>0</v>
      </c>
      <c r="E17" s="8" t="inlineStr">
        <is>
          <t>Hay 8 filas: borra los ejemplos y escribe tus conceptos.</t>
        </is>
      </c>
    </row>
    <row r="18">
      <c r="B18" s="22" t="inlineStr">
        <is>
          <t>Mudanza</t>
        </is>
      </c>
      <c r="C18" s="18" t="n">
        <v>600</v>
      </c>
      <c r="D18" s="18" t="n">
        <v>600</v>
      </c>
    </row>
    <row r="19">
      <c r="B19" s="22" t="inlineStr">
        <is>
          <t>Mobiliario y electrodomésticos</t>
        </is>
      </c>
      <c r="C19" s="18" t="n">
        <v>2500</v>
      </c>
      <c r="D19" s="18" t="n">
        <v>4500</v>
      </c>
    </row>
    <row r="20">
      <c r="B20" s="22" t="inlineStr">
        <is>
          <t>Alta de suministros</t>
        </is>
      </c>
      <c r="C20" s="18" t="n">
        <v>150</v>
      </c>
      <c r="D20" s="18" t="n">
        <v>150</v>
      </c>
    </row>
    <row r="21">
      <c r="B21" s="22" t="inlineStr">
        <is>
          <t>Seguro del hogar (primer año)</t>
        </is>
      </c>
      <c r="C21" s="18" t="n">
        <v>280</v>
      </c>
      <c r="D21" s="18" t="n">
        <v>260</v>
      </c>
    </row>
    <row r="22">
      <c r="B22" s="22" t="n"/>
      <c r="C22" s="18" t="n"/>
      <c r="D22" s="18" t="n"/>
    </row>
    <row r="23">
      <c r="B23" s="22" t="n"/>
      <c r="C23" s="18" t="n"/>
      <c r="D23" s="18" t="n"/>
    </row>
    <row r="24">
      <c r="B24" s="22" t="n"/>
      <c r="C24" s="18" t="n"/>
      <c r="D24" s="18" t="n"/>
    </row>
    <row r="25">
      <c r="B25" s="11" t="inlineStr">
        <is>
          <t>TOTAL OTROS GASTOS INICIALES</t>
        </is>
      </c>
      <c r="C25" s="23">
        <f>SUM(C17:C24)</f>
        <v/>
      </c>
      <c r="D25" s="23">
        <f>SUM(D17:D24)</f>
        <v/>
      </c>
    </row>
    <row r="27">
      <c r="B27" s="9" t="inlineStr">
        <is>
          <t>PARÁMETROS GENERALES (valores de ejemplo editables; compruébalos antes de usarlos)</t>
        </is>
      </c>
    </row>
    <row r="28" ht="26" customHeight="1">
      <c r="B28" s="10" t="inlineStr">
        <is>
          <t>Parámetro</t>
        </is>
      </c>
      <c r="C28" s="10" t="inlineStr">
        <is>
          <t>Valor</t>
        </is>
      </c>
      <c r="D28" s="10" t="inlineStr">
        <is>
          <t>Unidad</t>
        </is>
      </c>
      <c r="E28" s="10" t="inlineStr">
        <is>
          <t>Nota</t>
        </is>
      </c>
    </row>
    <row r="29">
      <c r="B29" s="11" t="inlineStr">
        <is>
          <t>ITP de vivienda de segunda mano</t>
        </is>
      </c>
      <c r="C29" s="24" t="n">
        <v>0.06</v>
      </c>
      <c r="D29" s="25" t="inlineStr">
        <is>
          <t>%</t>
        </is>
      </c>
      <c r="E29" s="8" t="inlineStr">
        <is>
          <t>Varía según la comunidad autónoma: pon el que corresponda a tu caso.</t>
        </is>
      </c>
    </row>
    <row r="30">
      <c r="B30" s="11" t="inlineStr">
        <is>
          <t>IVA de vivienda nueva</t>
        </is>
      </c>
      <c r="C30" s="24" t="n">
        <v>0.1</v>
      </c>
      <c r="D30" s="25" t="inlineStr">
        <is>
          <t>%</t>
        </is>
      </c>
      <c r="E30" s="8" t="inlineStr">
        <is>
          <t>Parámetro de ejemplo; comprueba el tipo vigente.</t>
        </is>
      </c>
    </row>
    <row r="31">
      <c r="B31" s="11" t="inlineStr">
        <is>
          <t>AJD de vivienda nueva</t>
        </is>
      </c>
      <c r="C31" s="26" t="n">
        <v>0.015</v>
      </c>
      <c r="D31" s="25" t="inlineStr">
        <is>
          <t>%</t>
        </is>
      </c>
      <c r="E31" s="8" t="inlineStr">
        <is>
          <t>Actos jurídicos documentados; también varía según la comunidad.</t>
        </is>
      </c>
    </row>
    <row r="32">
      <c r="B32" s="11" t="inlineStr">
        <is>
          <t>Notaría</t>
        </is>
      </c>
      <c r="C32" s="18" t="n">
        <v>900</v>
      </c>
      <c r="D32" s="25" t="inlineStr">
        <is>
          <t>€</t>
        </is>
      </c>
      <c r="E32" s="8" t="inlineStr">
        <is>
          <t>Estimación; pide presupuesto.</t>
        </is>
      </c>
    </row>
    <row r="33">
      <c r="B33" s="11" t="inlineStr">
        <is>
          <t>Registro de la propiedad</t>
        </is>
      </c>
      <c r="C33" s="18" t="n">
        <v>600</v>
      </c>
      <c r="D33" s="25" t="inlineStr">
        <is>
          <t>€</t>
        </is>
      </c>
      <c r="E33" s="8" t="inlineStr">
        <is>
          <t>Estimación; pide presupuesto.</t>
        </is>
      </c>
    </row>
    <row r="34">
      <c r="B34" s="11" t="inlineStr">
        <is>
          <t>Gestoría</t>
        </is>
      </c>
      <c r="C34" s="18" t="n">
        <v>400</v>
      </c>
      <c r="D34" s="25" t="inlineStr">
        <is>
          <t>€</t>
        </is>
      </c>
      <c r="E34" s="8" t="inlineStr">
        <is>
          <t>Estimación; pide presupuesto.</t>
        </is>
      </c>
    </row>
    <row r="35">
      <c r="B35" s="11" t="inlineStr">
        <is>
          <t>Tasación</t>
        </is>
      </c>
      <c r="C35" s="18" t="n">
        <v>400</v>
      </c>
      <c r="D35" s="25" t="inlineStr">
        <is>
          <t>€</t>
        </is>
      </c>
      <c r="E35" s="8" t="inlineStr">
        <is>
          <t>Estimación; depende de la tasadora.</t>
        </is>
      </c>
    </row>
    <row r="36">
      <c r="B36" s="11" t="inlineStr">
        <is>
          <t>Ingresos netos mensuales del hogar</t>
        </is>
      </c>
      <c r="C36" s="18" t="n">
        <v>3200</v>
      </c>
      <c r="D36" s="25" t="inlineStr">
        <is>
          <t>€/mes</t>
        </is>
      </c>
      <c r="E36" s="8" t="inlineStr">
        <is>
          <t>Lo que ingresáis al mes después de impuestos (cifra ficticia).</t>
        </is>
      </c>
    </row>
    <row r="37">
      <c r="B37" s="11" t="inlineStr">
        <is>
          <t>Ahorro actual disponible</t>
        </is>
      </c>
      <c r="C37" s="18" t="n">
        <v>38000</v>
      </c>
      <c r="D37" s="25" t="inlineStr">
        <is>
          <t>€</t>
        </is>
      </c>
      <c r="E37" s="8" t="inlineStr">
        <is>
          <t>Dinero que ya tienes ahorrado para la compra.</t>
        </is>
      </c>
    </row>
    <row r="38">
      <c r="B38" s="11" t="inlineStr">
        <is>
          <t>Ahorro mensual previsto</t>
        </is>
      </c>
      <c r="C38" s="18" t="n">
        <v>900</v>
      </c>
      <c r="D38" s="25" t="inlineStr">
        <is>
          <t>€/mes</t>
        </is>
      </c>
      <c r="E38" s="8" t="inlineStr">
        <is>
          <t>Lo que piensas apartar cada mes hasta la compra.</t>
        </is>
      </c>
    </row>
    <row r="39">
      <c r="B39" s="11" t="inlineStr">
        <is>
          <t>Rentabilidad anual del ahorro</t>
        </is>
      </c>
      <c r="C39" s="24" t="n">
        <v>0.02</v>
      </c>
      <c r="D39" s="25" t="inlineStr">
        <is>
          <t>%</t>
        </is>
      </c>
      <c r="E39" s="8" t="inlineStr">
        <is>
          <t>Pon 0 % si el dinero no genera intereses.</t>
        </is>
      </c>
    </row>
    <row r="40">
      <c r="B40" s="11" t="inlineStr">
        <is>
          <t>Fecha de hoy</t>
        </is>
      </c>
      <c r="C40" s="27" t="n">
        <v>46296</v>
      </c>
      <c r="D40" s="25" t="inlineStr">
        <is>
          <t>fecha</t>
        </is>
      </c>
      <c r="E40" s="8" t="inlineStr">
        <is>
          <t>Fecha de partida del plan de ahorro (escríbela tú).</t>
        </is>
      </c>
    </row>
    <row r="41">
      <c r="B41" s="11" t="inlineStr">
        <is>
          <t>Fecha objetivo de compra</t>
        </is>
      </c>
      <c r="C41" s="27" t="n">
        <v>46661</v>
      </c>
      <c r="D41" s="25" t="inlineStr">
        <is>
          <t>fecha</t>
        </is>
      </c>
      <c r="E41" s="8" t="inlineStr">
        <is>
          <t>Cuándo quieres tener el dinero disponible.</t>
        </is>
      </c>
    </row>
    <row r="42">
      <c r="B42" s="11" t="inlineStr">
        <is>
          <t>Ratio máximo cuota/ingresos</t>
        </is>
      </c>
      <c r="C42" s="24" t="n">
        <v>0.35</v>
      </c>
      <c r="D42" s="25" t="inlineStr">
        <is>
          <t>%</t>
        </is>
      </c>
      <c r="E42" s="8" t="inlineStr">
        <is>
          <t>Referencia orientativa para el semáforo; cámbiala según tu criterio.</t>
        </is>
      </c>
    </row>
    <row r="43">
      <c r="B43" s="11" t="inlineStr">
        <is>
          <t>Oferta de referencia (A o B)</t>
        </is>
      </c>
      <c r="C43" s="17" t="inlineStr">
        <is>
          <t>A</t>
        </is>
      </c>
      <c r="D43" s="25" t="inlineStr">
        <is>
          <t>A / B</t>
        </is>
      </c>
      <c r="E43" s="8" t="inlineStr">
        <is>
          <t>Es la oferta que usan el Panel y la hoja Ahorro.</t>
        </is>
      </c>
    </row>
    <row r="45">
      <c r="B45" s="9" t="inlineStr">
        <is>
          <t>CÁLCULOS (automáticos)</t>
        </is>
      </c>
    </row>
    <row r="46" ht="26" customHeight="1">
      <c r="B46" s="10" t="inlineStr">
        <is>
          <t>Concepto</t>
        </is>
      </c>
      <c r="C46" s="10" t="inlineStr">
        <is>
          <t>Oferta A</t>
        </is>
      </c>
      <c r="D46" s="10" t="inlineStr">
        <is>
          <t>Oferta B</t>
        </is>
      </c>
      <c r="E46" s="10" t="inlineStr">
        <is>
          <t>Cómo se calcula</t>
        </is>
      </c>
    </row>
    <row r="47">
      <c r="B47" s="11" t="inlineStr">
        <is>
          <t>Impuesto aplicable (%)</t>
        </is>
      </c>
      <c r="C47" s="28">
        <f>IF(C7="","",IF(C8="Obra nueva",$C$30+$C$31,$C$29))</f>
        <v/>
      </c>
      <c r="D47" s="28">
        <f>IF(D7="","",IF(D8="Obra nueva",$C$30+$C$31,$C$29))</f>
        <v/>
      </c>
      <c r="E47" s="8" t="inlineStr">
        <is>
          <t>ITP si es segunda mano; IVA + AJD si es obra nueva</t>
        </is>
      </c>
    </row>
    <row r="48">
      <c r="B48" s="11" t="inlineStr">
        <is>
          <t>Impuesto de la compra (€)</t>
        </is>
      </c>
      <c r="C48" s="12">
        <f>IF(C7="","",C7*C47)</f>
        <v/>
      </c>
      <c r="D48" s="12">
        <f>IF(D7="","",D7*D47)</f>
        <v/>
      </c>
      <c r="E48" s="8" t="inlineStr">
        <is>
          <t>Precio × impuesto aplicable</t>
        </is>
      </c>
    </row>
    <row r="49">
      <c r="B49" s="11" t="inlineStr">
        <is>
          <t>Notaría, registro, gestoría y tasación (€)</t>
        </is>
      </c>
      <c r="C49" s="12">
        <f>IF(C7="","",SUM($C$32:$C$35))</f>
        <v/>
      </c>
      <c r="D49" s="12">
        <f>IF(D7="","",SUM($C$32:$C$35))</f>
        <v/>
      </c>
      <c r="E49" s="8" t="inlineStr">
        <is>
          <t>Suma de los cuatro parámetros</t>
        </is>
      </c>
    </row>
    <row r="50">
      <c r="B50" s="11" t="inlineStr">
        <is>
          <t>Otros gastos iniciales (€)</t>
        </is>
      </c>
      <c r="C50" s="12">
        <f>IF(C7="","",C25)</f>
        <v/>
      </c>
      <c r="D50" s="12">
        <f>IF(D7="","",D25)</f>
        <v/>
      </c>
      <c r="E50" s="8" t="inlineStr">
        <is>
          <t>Total de la tabla de otros gastos</t>
        </is>
      </c>
    </row>
    <row r="51">
      <c r="B51" s="11" t="inlineStr">
        <is>
          <t>Total gastos iniciales (€)</t>
        </is>
      </c>
      <c r="C51" s="23">
        <f>IF(C7="","",C48+C49+C50)</f>
        <v/>
      </c>
      <c r="D51" s="23">
        <f>IF(D7="","",D48+D49+D50)</f>
        <v/>
      </c>
      <c r="E51" s="8" t="inlineStr">
        <is>
          <t>Impuesto + gastos de la operación + otros</t>
        </is>
      </c>
    </row>
    <row r="52">
      <c r="B52" s="11" t="inlineStr">
        <is>
          <t>Importe de la hipoteca (€)</t>
        </is>
      </c>
      <c r="C52" s="12">
        <f>IF(C7="","",C7*C9)</f>
        <v/>
      </c>
      <c r="D52" s="12">
        <f>IF(D7="","",D7*D9)</f>
        <v/>
      </c>
      <c r="E52" s="8" t="inlineStr">
        <is>
          <t>Precio × % financiado</t>
        </is>
      </c>
    </row>
    <row r="53">
      <c r="B53" s="11" t="inlineStr">
        <is>
          <t>Entrada (€)</t>
        </is>
      </c>
      <c r="C53" s="12">
        <f>IF(C7="","",C7-C52)</f>
        <v/>
      </c>
      <c r="D53" s="12">
        <f>IF(D7="","",D7-D52)</f>
        <v/>
      </c>
      <c r="E53" s="8" t="inlineStr">
        <is>
          <t>Precio − hipoteca</t>
        </is>
      </c>
    </row>
    <row r="54">
      <c r="B54" s="11" t="inlineStr">
        <is>
          <t>Efectivo necesario (€)</t>
        </is>
      </c>
      <c r="C54" s="23">
        <f>IF(C7="","",C53+C51)</f>
        <v/>
      </c>
      <c r="D54" s="23">
        <f>IF(D7="","",D53+D51)</f>
        <v/>
      </c>
      <c r="E54" s="8" t="inlineStr">
        <is>
          <t>Entrada + gastos iniciales</t>
        </is>
      </c>
    </row>
    <row r="55">
      <c r="B55" s="11" t="inlineStr">
        <is>
          <t>Cuota hipotecaria mensual (€)</t>
        </is>
      </c>
      <c r="C55" s="12">
        <f>IF(C7="","",IF(C52&gt;0,PMT(C10/12,C11*12,-C52),0))</f>
        <v/>
      </c>
      <c r="D55" s="12">
        <f>IF(D7="","",IF(D52&gt;0,PMT(D10/12,D11*12,-D52),0))</f>
        <v/>
      </c>
      <c r="E55" s="8" t="inlineStr">
        <is>
          <t>Función PAGO con tipo mensual y plazo en meses</t>
        </is>
      </c>
    </row>
    <row r="56">
      <c r="B56" s="11" t="inlineStr">
        <is>
          <t>Intereses totales (€)</t>
        </is>
      </c>
      <c r="C56" s="12">
        <f>IF(C7="","",C55*C11*12-C52)</f>
        <v/>
      </c>
      <c r="D56" s="12">
        <f>IF(D7="","",D55*D11*12-D52)</f>
        <v/>
      </c>
      <c r="E56" s="8" t="inlineStr">
        <is>
          <t>Cuota × nº de cuotas − capital prestado</t>
        </is>
      </c>
    </row>
    <row r="57">
      <c r="B57" s="11" t="inlineStr">
        <is>
          <t>Coste total de la compra (€)</t>
        </is>
      </c>
      <c r="C57" s="23">
        <f>IF(C7="","",C7+C51+C56)</f>
        <v/>
      </c>
      <c r="D57" s="23">
        <f>IF(D7="","",D7+D51+D56)</f>
        <v/>
      </c>
      <c r="E57" s="8" t="inlineStr">
        <is>
          <t>Precio + gastos iniciales + intereses</t>
        </is>
      </c>
    </row>
    <row r="58">
      <c r="B58" s="11" t="inlineStr">
        <is>
          <t>Gasto mensual de vivienda (€)</t>
        </is>
      </c>
      <c r="C58" s="12">
        <f>IF(C7="","",C55+C12+C13/12)</f>
        <v/>
      </c>
      <c r="D58" s="12">
        <f>IF(D7="","",D55+D12+D13/12)</f>
        <v/>
      </c>
      <c r="E58" s="8" t="inlineStr">
        <is>
          <t>Cuota + comunidad + IBI anual / 12</t>
        </is>
      </c>
    </row>
    <row r="59">
      <c r="B59" s="11" t="inlineStr">
        <is>
          <t>Ratio cuota/ingresos</t>
        </is>
      </c>
      <c r="C59" s="14">
        <f>IF(C7="","",IF($C$36&gt;0,C55/$C$36,0))</f>
        <v/>
      </c>
      <c r="D59" s="14">
        <f>IF(D7="","",IF($C$36&gt;0,D55/$C$36,0))</f>
        <v/>
      </c>
      <c r="E59" s="8" t="inlineStr">
        <is>
          <t>Cuota mensual / ingresos netos mensuales</t>
        </is>
      </c>
    </row>
    <row r="60">
      <c r="B60" s="11" t="inlineStr">
        <is>
          <t>Ratio gasto de vivienda/ingresos</t>
        </is>
      </c>
      <c r="C60" s="14">
        <f>IF(C7="","",IF($C$36&gt;0,C58/$C$36,0))</f>
        <v/>
      </c>
      <c r="D60" s="14">
        <f>IF(D7="","",IF($C$36&gt;0,D58/$C$36,0))</f>
        <v/>
      </c>
      <c r="E60" s="8" t="inlineStr">
        <is>
          <t>Gasto mensual de vivienda / ingresos netos</t>
        </is>
      </c>
    </row>
    <row r="61">
      <c r="B61" s="11" t="inlineStr">
        <is>
          <t>Valoración de la cuota</t>
        </is>
      </c>
      <c r="C61" s="15">
        <f>IF(C7="","",IF(C59&lt;=$C$42,"Dentro del límite","Por encima del límite"))</f>
        <v/>
      </c>
      <c r="D61" s="15">
        <f>IF(D7="","",IF(D59&lt;=$C$42,"Dentro del límite","Por encima del límite"))</f>
        <v/>
      </c>
      <c r="E61" s="8" t="inlineStr">
        <is>
          <t>Compara el ratio de la cuota con tu límite (C42)</t>
        </is>
      </c>
    </row>
    <row r="62">
      <c r="B62" s="11" t="inlineStr">
        <is>
          <t>Ahorro que falta (€)</t>
        </is>
      </c>
      <c r="C62" s="12">
        <f>IF(C7="","",MAX(0,C54-$C$37))</f>
        <v/>
      </c>
      <c r="D62" s="12">
        <f>IF(D7="","",MAX(0,D54-$C$37))</f>
        <v/>
      </c>
      <c r="E62" s="8" t="inlineStr">
        <is>
          <t>Efectivo necesario − ahorro actual</t>
        </is>
      </c>
    </row>
    <row r="63">
      <c r="B63" s="11" t="inlineStr">
        <is>
          <t>Meses hasta la fecha objetivo</t>
        </is>
      </c>
      <c r="C63" s="29">
        <f>(YEAR($C$41)-YEAR($C$40))*12+MONTH($C$41)-MONTH($C$40)</f>
        <v/>
      </c>
      <c r="D63" s="29">
        <f>(YEAR($C$41)-YEAR($C$40))*12+MONTH($C$41)-MONTH($C$40)</f>
        <v/>
      </c>
      <c r="E63" s="8" t="inlineStr">
        <is>
          <t>Meses entre la fecha de hoy y la fecha objetivo</t>
        </is>
      </c>
    </row>
    <row r="64">
      <c r="B64" s="11" t="inlineStr">
        <is>
          <t>Ahorro mensual necesario (€)</t>
        </is>
      </c>
      <c r="C64" s="12">
        <f>IF(C7="","",IF(C62=0,0,IF(C63&lt;=0,"—",-PMT($C$39/12,C63,-$C$37,C54))))</f>
        <v/>
      </c>
      <c r="D64" s="12">
        <f>IF(D7="","",IF(D62=0,0,IF(D63&lt;=0,"—",-PMT($C$39/12,D63,-$C$37,D54))))</f>
        <v/>
      </c>
      <c r="E64" s="8" t="inlineStr">
        <is>
          <t>Función PAGO: cuota de ahorro para llegar al efectivo necesario</t>
        </is>
      </c>
    </row>
    <row r="65">
      <c r="B65" s="11" t="inlineStr">
        <is>
          <t>¿Llegas con tu ahorro previsto?</t>
        </is>
      </c>
      <c r="C65" s="15">
        <f>IF(C7="","",IF(ISNUMBER(C64),IF($C$38&gt;=C64,"Sí","No"),"No"))</f>
        <v/>
      </c>
      <c r="D65" s="15">
        <f>IF(D7="","",IF(ISNUMBER(D64),IF($C$38&gt;=D64,"Sí","No"),"No"))</f>
        <v/>
      </c>
      <c r="E65" s="8" t="inlineStr">
        <is>
          <t>Compara tu ahorro mensual previsto (C38) con el necesario</t>
        </is>
      </c>
    </row>
    <row r="66">
      <c r="B66" s="8" t="inlineStr">
        <is>
          <t>Simulación educativa: impuestos y gastos son parámetros editables y no sustituyen a una oferta vinculante ni al asesoramiento de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conditionalFormatting sqref="B17:D24">
    <cfRule type="expression" priority="1" dxfId="1">
      <formula>MOD(ROW(),2)=0</formula>
    </cfRule>
  </conditionalFormatting>
  <conditionalFormatting sqref="C61:D61">
    <cfRule type="cellIs" priority="2" operator="equal" dxfId="2">
      <formula>"Dentro del límite"</formula>
    </cfRule>
    <cfRule type="cellIs" priority="3" operator="equal" dxfId="0">
      <formula>"Por encima del límite"</formula>
    </cfRule>
  </conditionalFormatting>
  <conditionalFormatting sqref="C65:D65">
    <cfRule type="cellIs" priority="4" operator="equal" dxfId="2">
      <formula>"Sí"</formula>
    </cfRule>
    <cfRule type="cellIs" priority="5" operator="equal" dxfId="3">
      <formula>"No"</formula>
    </cfRule>
  </conditionalFormatting>
  <dataValidations count="3">
    <dataValidation sqref="C8:D8" showDropDown="0" showInputMessage="0" showErrorMessage="0" allowBlank="1" type="list">
      <formula1>=Listas!$A$2:$A$3</formula1>
    </dataValidation>
    <dataValidation sqref="C11:D11" showDropDown="0" showInputMessage="0" showErrorMessage="1" allowBlank="0" errorTitle="Plazo no válido" error="Escribe un número entero de años entre 1 y 40." type="whole" operator="between">
      <formula1>1</formula1>
      <formula2>40</formula2>
    </dataValidation>
    <dataValidation sqref="C43" showDropDown="0" showInputMessage="0" showErrorMessage="0" allowBlank="1" type="list">
      <formula1>"A,B"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6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" customWidth="1" min="8" max="8"/>
  </cols>
  <sheetData>
    <row r="2" ht="34" customHeight="1">
      <c r="B2" s="1" t="inlineStr">
        <is>
          <t>Simulador de cuota hipotecaria</t>
        </is>
      </c>
      <c r="C2" s="2" t="n"/>
      <c r="D2" s="2" t="n"/>
      <c r="E2" s="2" t="n"/>
      <c r="F2" s="2" t="n"/>
      <c r="G2" s="2" t="n"/>
    </row>
    <row r="3">
      <c r="B3" s="3" t="inlineStr">
        <is>
          <t>Elige la oferta y juega con plazos y tipos de interés. Simulación educativa, sin comisiones ni vinculaciones.</t>
        </is>
      </c>
    </row>
    <row r="5">
      <c r="B5" s="11" t="inlineStr">
        <is>
          <t>Oferta a simular (A o B)</t>
        </is>
      </c>
      <c r="C5" s="17" t="inlineStr">
        <is>
          <t>A</t>
        </is>
      </c>
    </row>
    <row r="6">
      <c r="B6" s="11" t="inlineStr">
        <is>
          <t>Importe de la hipoteca (€)</t>
        </is>
      </c>
      <c r="C6" s="12">
        <f>IF($C$5="A",Datos!C52,Datos!D52)</f>
        <v/>
      </c>
    </row>
    <row r="7">
      <c r="B7" s="11" t="inlineStr">
        <is>
          <t>Tipo de interés anual</t>
        </is>
      </c>
      <c r="C7" s="28">
        <f>IF($C$5="A",Datos!C10,Datos!D10)</f>
        <v/>
      </c>
    </row>
    <row r="8">
      <c r="B8" s="11" t="inlineStr">
        <is>
          <t>Plazo (años)</t>
        </is>
      </c>
      <c r="C8" s="29">
        <f>IF($C$5="A",Datos!C11,Datos!D11)</f>
        <v/>
      </c>
    </row>
    <row r="9">
      <c r="B9" s="11" t="inlineStr">
        <is>
          <t>Cuota mensual (€)</t>
        </is>
      </c>
      <c r="C9" s="23">
        <f>IF(AND(ISNUMBER(C6),N(C6)&gt;0),PMT(C7/12,C8*12,-C6),0)</f>
        <v/>
      </c>
    </row>
    <row r="10">
      <c r="B10" s="11" t="inlineStr">
        <is>
          <t>Cuota máxima según tu ratio (€)</t>
        </is>
      </c>
      <c r="C10" s="12">
        <f>Datos!C36*Datos!C42</f>
        <v/>
      </c>
    </row>
    <row r="11">
      <c r="B11" s="11" t="inlineStr">
        <is>
          <t>Intereses totales (€)</t>
        </is>
      </c>
      <c r="C11" s="12">
        <f>IF(ISNUMBER(C6),C9*C8*12-C6,0)</f>
        <v/>
      </c>
    </row>
    <row r="13">
      <c r="B13" s="9" t="inlineStr">
        <is>
          <t>CUOTA MENSUAL SEGÚN PLAZO Y TIPO DE INTERÉS</t>
        </is>
      </c>
    </row>
    <row r="14">
      <c r="B14" s="11" t="inlineStr">
        <is>
          <t>Variación sobre tu tipo (editable)</t>
        </is>
      </c>
      <c r="C14" s="30" t="n">
        <v>-0.01</v>
      </c>
      <c r="D14" s="30" t="n">
        <v>-0.005</v>
      </c>
      <c r="E14" s="30" t="n">
        <v>0</v>
      </c>
      <c r="F14" s="30" t="n">
        <v>0.005</v>
      </c>
      <c r="G14" s="30" t="n">
        <v>0.01</v>
      </c>
    </row>
    <row r="15">
      <c r="B15" s="11" t="inlineStr">
        <is>
          <t>Tipo de interés resultante</t>
        </is>
      </c>
      <c r="C15" s="31">
        <f>MAX(0,$C$7+C14)</f>
        <v/>
      </c>
      <c r="D15" s="31">
        <f>MAX(0,$C$7+D14)</f>
        <v/>
      </c>
      <c r="E15" s="31">
        <f>MAX(0,$C$7+E14)</f>
        <v/>
      </c>
      <c r="F15" s="31">
        <f>MAX(0,$C$7+F14)</f>
        <v/>
      </c>
      <c r="G15" s="31">
        <f>MAX(0,$C$7+G14)</f>
        <v/>
      </c>
    </row>
    <row r="16" ht="24" customHeight="1">
      <c r="B16" s="10" t="inlineStr">
        <is>
          <t>Plazo (años)</t>
        </is>
      </c>
      <c r="C16" s="10" t="inlineStr">
        <is>
          <t>Cuota mensual</t>
        </is>
      </c>
      <c r="D16" s="10" t="inlineStr">
        <is>
          <t>Cuota mensual</t>
        </is>
      </c>
      <c r="E16" s="10" t="inlineStr">
        <is>
          <t>Cuota mensual</t>
        </is>
      </c>
      <c r="F16" s="10" t="inlineStr">
        <is>
          <t>Cuota mensual</t>
        </is>
      </c>
      <c r="G16" s="10" t="inlineStr">
        <is>
          <t>Cuota mensual</t>
        </is>
      </c>
    </row>
    <row r="17">
      <c r="B17" s="21" t="n">
        <v>15</v>
      </c>
      <c r="C17" s="12">
        <f>IF(OR($B17="",NOT(ISNUMBER($C$6)),N($C$6)&lt;=0),"",PMT(C$15/12,$B17*12,-$C$6))</f>
        <v/>
      </c>
      <c r="D17" s="12">
        <f>IF(OR($B17="",NOT(ISNUMBER($C$6)),N($C$6)&lt;=0),"",PMT(D$15/12,$B17*12,-$C$6))</f>
        <v/>
      </c>
      <c r="E17" s="12">
        <f>IF(OR($B17="",NOT(ISNUMBER($C$6)),N($C$6)&lt;=0),"",PMT(E$15/12,$B17*12,-$C$6))</f>
        <v/>
      </c>
      <c r="F17" s="12">
        <f>IF(OR($B17="",NOT(ISNUMBER($C$6)),N($C$6)&lt;=0),"",PMT(F$15/12,$B17*12,-$C$6))</f>
        <v/>
      </c>
      <c r="G17" s="12">
        <f>IF(OR($B17="",NOT(ISNUMBER($C$6)),N($C$6)&lt;=0),"",PMT(G$15/12,$B17*12,-$C$6))</f>
        <v/>
      </c>
    </row>
    <row r="18">
      <c r="B18" s="21" t="n">
        <v>20</v>
      </c>
      <c r="C18" s="12">
        <f>IF(OR($B18="",NOT(ISNUMBER($C$6)),N($C$6)&lt;=0),"",PMT(C$15/12,$B18*12,-$C$6))</f>
        <v/>
      </c>
      <c r="D18" s="12">
        <f>IF(OR($B18="",NOT(ISNUMBER($C$6)),N($C$6)&lt;=0),"",PMT(D$15/12,$B18*12,-$C$6))</f>
        <v/>
      </c>
      <c r="E18" s="12">
        <f>IF(OR($B18="",NOT(ISNUMBER($C$6)),N($C$6)&lt;=0),"",PMT(E$15/12,$B18*12,-$C$6))</f>
        <v/>
      </c>
      <c r="F18" s="12">
        <f>IF(OR($B18="",NOT(ISNUMBER($C$6)),N($C$6)&lt;=0),"",PMT(F$15/12,$B18*12,-$C$6))</f>
        <v/>
      </c>
      <c r="G18" s="12">
        <f>IF(OR($B18="",NOT(ISNUMBER($C$6)),N($C$6)&lt;=0),"",PMT(G$15/12,$B18*12,-$C$6))</f>
        <v/>
      </c>
    </row>
    <row r="19">
      <c r="B19" s="21" t="n">
        <v>25</v>
      </c>
      <c r="C19" s="12">
        <f>IF(OR($B19="",NOT(ISNUMBER($C$6)),N($C$6)&lt;=0),"",PMT(C$15/12,$B19*12,-$C$6))</f>
        <v/>
      </c>
      <c r="D19" s="12">
        <f>IF(OR($B19="",NOT(ISNUMBER($C$6)),N($C$6)&lt;=0),"",PMT(D$15/12,$B19*12,-$C$6))</f>
        <v/>
      </c>
      <c r="E19" s="12">
        <f>IF(OR($B19="",NOT(ISNUMBER($C$6)),N($C$6)&lt;=0),"",PMT(E$15/12,$B19*12,-$C$6))</f>
        <v/>
      </c>
      <c r="F19" s="12">
        <f>IF(OR($B19="",NOT(ISNUMBER($C$6)),N($C$6)&lt;=0),"",PMT(F$15/12,$B19*12,-$C$6))</f>
        <v/>
      </c>
      <c r="G19" s="12">
        <f>IF(OR($B19="",NOT(ISNUMBER($C$6)),N($C$6)&lt;=0),"",PMT(G$15/12,$B19*12,-$C$6))</f>
        <v/>
      </c>
    </row>
    <row r="20">
      <c r="B20" s="21" t="n">
        <v>30</v>
      </c>
      <c r="C20" s="12">
        <f>IF(OR($B20="",NOT(ISNUMBER($C$6)),N($C$6)&lt;=0),"",PMT(C$15/12,$B20*12,-$C$6))</f>
        <v/>
      </c>
      <c r="D20" s="12">
        <f>IF(OR($B20="",NOT(ISNUMBER($C$6)),N($C$6)&lt;=0),"",PMT(D$15/12,$B20*12,-$C$6))</f>
        <v/>
      </c>
      <c r="E20" s="12">
        <f>IF(OR($B20="",NOT(ISNUMBER($C$6)),N($C$6)&lt;=0),"",PMT(E$15/12,$B20*12,-$C$6))</f>
        <v/>
      </c>
      <c r="F20" s="12">
        <f>IF(OR($B20="",NOT(ISNUMBER($C$6)),N($C$6)&lt;=0),"",PMT(F$15/12,$B20*12,-$C$6))</f>
        <v/>
      </c>
      <c r="G20" s="12">
        <f>IF(OR($B20="",NOT(ISNUMBER($C$6)),N($C$6)&lt;=0),"",PMT(G$15/12,$B20*12,-$C$6))</f>
        <v/>
      </c>
    </row>
    <row r="21">
      <c r="B21" s="21" t="n">
        <v>35</v>
      </c>
      <c r="C21" s="12">
        <f>IF(OR($B21="",NOT(ISNUMBER($C$6)),N($C$6)&lt;=0),"",PMT(C$15/12,$B21*12,-$C$6))</f>
        <v/>
      </c>
      <c r="D21" s="12">
        <f>IF(OR($B21="",NOT(ISNUMBER($C$6)),N($C$6)&lt;=0),"",PMT(D$15/12,$B21*12,-$C$6))</f>
        <v/>
      </c>
      <c r="E21" s="12">
        <f>IF(OR($B21="",NOT(ISNUMBER($C$6)),N($C$6)&lt;=0),"",PMT(E$15/12,$B21*12,-$C$6))</f>
        <v/>
      </c>
      <c r="F21" s="12">
        <f>IF(OR($B21="",NOT(ISNUMBER($C$6)),N($C$6)&lt;=0),"",PMT(F$15/12,$B21*12,-$C$6))</f>
        <v/>
      </c>
      <c r="G21" s="12">
        <f>IF(OR($B21="",NOT(ISNUMBER($C$6)),N($C$6)&lt;=0),"",PMT(G$15/12,$B21*12,-$C$6))</f>
        <v/>
      </c>
    </row>
    <row r="22">
      <c r="B22" s="8" t="inlineStr">
        <is>
          <t>Verde: la cuota cabe en tu ratio máximo (celda C10). Rojo: lo supera.</t>
        </is>
      </c>
    </row>
    <row r="24">
      <c r="B24" s="9" t="inlineStr">
        <is>
          <t>CUADRO DE AMORTIZACIÓN ANUAL (hasta 40 años)</t>
        </is>
      </c>
    </row>
    <row r="25" ht="30" customHeight="1">
      <c r="B25" s="10" t="inlineStr">
        <is>
          <t>Año</t>
        </is>
      </c>
      <c r="C25" s="10" t="inlineStr">
        <is>
          <t>Cuota anual</t>
        </is>
      </c>
      <c r="D25" s="10" t="inlineStr">
        <is>
          <t>Intereses</t>
        </is>
      </c>
      <c r="E25" s="10" t="inlineStr">
        <is>
          <t>Capital amortizado</t>
        </is>
      </c>
      <c r="F25" s="10" t="inlineStr">
        <is>
          <t>Capital pendiente</t>
        </is>
      </c>
      <c r="G25" s="10" t="inlineStr">
        <is>
          <t>% amortizado</t>
        </is>
      </c>
    </row>
    <row r="26">
      <c r="B26" s="29">
        <f>IF(N($C$8)&gt;=1,1,"")</f>
        <v/>
      </c>
      <c r="C26" s="12">
        <f>IF(B26="","",$C$9*12)</f>
        <v/>
      </c>
      <c r="D26" s="12">
        <f>IF(B26="","",C26-E26)</f>
        <v/>
      </c>
      <c r="E26" s="12">
        <f>IF(B26="","",$C$6-F26)</f>
        <v/>
      </c>
      <c r="F26" s="12">
        <f>IF(B26="","",MAX(0,ROUND(-FV($C$7/12,B26*12,-$C$9,$C$6),2)))</f>
        <v/>
      </c>
      <c r="G26" s="32">
        <f>IF(B26="","",IF($C$6&gt;0,1-F26/$C$6,0))</f>
        <v/>
      </c>
    </row>
    <row r="27">
      <c r="B27" s="29">
        <f>IF(B26="","",IF(B26&gt;=$C$8,"",B26+1))</f>
        <v/>
      </c>
      <c r="C27" s="12">
        <f>IF(B27="","",$C$9*12)</f>
        <v/>
      </c>
      <c r="D27" s="12">
        <f>IF(B27="","",C27-E27)</f>
        <v/>
      </c>
      <c r="E27" s="12">
        <f>IF(B27="","",F26-F27)</f>
        <v/>
      </c>
      <c r="F27" s="12">
        <f>IF(B27="","",MAX(0,ROUND(-FV($C$7/12,B27*12,-$C$9,$C$6),2)))</f>
        <v/>
      </c>
      <c r="G27" s="32">
        <f>IF(B27="","",IF($C$6&gt;0,1-F27/$C$6,0))</f>
        <v/>
      </c>
    </row>
    <row r="28">
      <c r="B28" s="29">
        <f>IF(B27="","",IF(B27&gt;=$C$8,"",B27+1))</f>
        <v/>
      </c>
      <c r="C28" s="12">
        <f>IF(B28="","",$C$9*12)</f>
        <v/>
      </c>
      <c r="D28" s="12">
        <f>IF(B28="","",C28-E28)</f>
        <v/>
      </c>
      <c r="E28" s="12">
        <f>IF(B28="","",F27-F28)</f>
        <v/>
      </c>
      <c r="F28" s="12">
        <f>IF(B28="","",MAX(0,ROUND(-FV($C$7/12,B28*12,-$C$9,$C$6),2)))</f>
        <v/>
      </c>
      <c r="G28" s="32">
        <f>IF(B28="","",IF($C$6&gt;0,1-F28/$C$6,0))</f>
        <v/>
      </c>
    </row>
    <row r="29">
      <c r="B29" s="29">
        <f>IF(B28="","",IF(B28&gt;=$C$8,"",B28+1))</f>
        <v/>
      </c>
      <c r="C29" s="12">
        <f>IF(B29="","",$C$9*12)</f>
        <v/>
      </c>
      <c r="D29" s="12">
        <f>IF(B29="","",C29-E29)</f>
        <v/>
      </c>
      <c r="E29" s="12">
        <f>IF(B29="","",F28-F29)</f>
        <v/>
      </c>
      <c r="F29" s="12">
        <f>IF(B29="","",MAX(0,ROUND(-FV($C$7/12,B29*12,-$C$9,$C$6),2)))</f>
        <v/>
      </c>
      <c r="G29" s="32">
        <f>IF(B29="","",IF($C$6&gt;0,1-F29/$C$6,0))</f>
        <v/>
      </c>
    </row>
    <row r="30">
      <c r="B30" s="29">
        <f>IF(B29="","",IF(B29&gt;=$C$8,"",B29+1))</f>
        <v/>
      </c>
      <c r="C30" s="12">
        <f>IF(B30="","",$C$9*12)</f>
        <v/>
      </c>
      <c r="D30" s="12">
        <f>IF(B30="","",C30-E30)</f>
        <v/>
      </c>
      <c r="E30" s="12">
        <f>IF(B30="","",F29-F30)</f>
        <v/>
      </c>
      <c r="F30" s="12">
        <f>IF(B30="","",MAX(0,ROUND(-FV($C$7/12,B30*12,-$C$9,$C$6),2)))</f>
        <v/>
      </c>
      <c r="G30" s="32">
        <f>IF(B30="","",IF($C$6&gt;0,1-F30/$C$6,0))</f>
        <v/>
      </c>
    </row>
    <row r="31">
      <c r="B31" s="29">
        <f>IF(B30="","",IF(B30&gt;=$C$8,"",B30+1))</f>
        <v/>
      </c>
      <c r="C31" s="12">
        <f>IF(B31="","",$C$9*12)</f>
        <v/>
      </c>
      <c r="D31" s="12">
        <f>IF(B31="","",C31-E31)</f>
        <v/>
      </c>
      <c r="E31" s="12">
        <f>IF(B31="","",F30-F31)</f>
        <v/>
      </c>
      <c r="F31" s="12">
        <f>IF(B31="","",MAX(0,ROUND(-FV($C$7/12,B31*12,-$C$9,$C$6),2)))</f>
        <v/>
      </c>
      <c r="G31" s="32">
        <f>IF(B31="","",IF($C$6&gt;0,1-F31/$C$6,0))</f>
        <v/>
      </c>
    </row>
    <row r="32">
      <c r="B32" s="29">
        <f>IF(B31="","",IF(B31&gt;=$C$8,"",B31+1))</f>
        <v/>
      </c>
      <c r="C32" s="12">
        <f>IF(B32="","",$C$9*12)</f>
        <v/>
      </c>
      <c r="D32" s="12">
        <f>IF(B32="","",C32-E32)</f>
        <v/>
      </c>
      <c r="E32" s="12">
        <f>IF(B32="","",F31-F32)</f>
        <v/>
      </c>
      <c r="F32" s="12">
        <f>IF(B32="","",MAX(0,ROUND(-FV($C$7/12,B32*12,-$C$9,$C$6),2)))</f>
        <v/>
      </c>
      <c r="G32" s="32">
        <f>IF(B32="","",IF($C$6&gt;0,1-F32/$C$6,0))</f>
        <v/>
      </c>
    </row>
    <row r="33">
      <c r="B33" s="29">
        <f>IF(B32="","",IF(B32&gt;=$C$8,"",B32+1))</f>
        <v/>
      </c>
      <c r="C33" s="12">
        <f>IF(B33="","",$C$9*12)</f>
        <v/>
      </c>
      <c r="D33" s="12">
        <f>IF(B33="","",C33-E33)</f>
        <v/>
      </c>
      <c r="E33" s="12">
        <f>IF(B33="","",F32-F33)</f>
        <v/>
      </c>
      <c r="F33" s="12">
        <f>IF(B33="","",MAX(0,ROUND(-FV($C$7/12,B33*12,-$C$9,$C$6),2)))</f>
        <v/>
      </c>
      <c r="G33" s="32">
        <f>IF(B33="","",IF($C$6&gt;0,1-F33/$C$6,0))</f>
        <v/>
      </c>
    </row>
    <row r="34">
      <c r="B34" s="29">
        <f>IF(B33="","",IF(B33&gt;=$C$8,"",B33+1))</f>
        <v/>
      </c>
      <c r="C34" s="12">
        <f>IF(B34="","",$C$9*12)</f>
        <v/>
      </c>
      <c r="D34" s="12">
        <f>IF(B34="","",C34-E34)</f>
        <v/>
      </c>
      <c r="E34" s="12">
        <f>IF(B34="","",F33-F34)</f>
        <v/>
      </c>
      <c r="F34" s="12">
        <f>IF(B34="","",MAX(0,ROUND(-FV($C$7/12,B34*12,-$C$9,$C$6),2)))</f>
        <v/>
      </c>
      <c r="G34" s="32">
        <f>IF(B34="","",IF($C$6&gt;0,1-F34/$C$6,0))</f>
        <v/>
      </c>
    </row>
    <row r="35">
      <c r="B35" s="29">
        <f>IF(B34="","",IF(B34&gt;=$C$8,"",B34+1))</f>
        <v/>
      </c>
      <c r="C35" s="12">
        <f>IF(B35="","",$C$9*12)</f>
        <v/>
      </c>
      <c r="D35" s="12">
        <f>IF(B35="","",C35-E35)</f>
        <v/>
      </c>
      <c r="E35" s="12">
        <f>IF(B35="","",F34-F35)</f>
        <v/>
      </c>
      <c r="F35" s="12">
        <f>IF(B35="","",MAX(0,ROUND(-FV($C$7/12,B35*12,-$C$9,$C$6),2)))</f>
        <v/>
      </c>
      <c r="G35" s="32">
        <f>IF(B35="","",IF($C$6&gt;0,1-F35/$C$6,0))</f>
        <v/>
      </c>
    </row>
    <row r="36">
      <c r="B36" s="29">
        <f>IF(B35="","",IF(B35&gt;=$C$8,"",B35+1))</f>
        <v/>
      </c>
      <c r="C36" s="12">
        <f>IF(B36="","",$C$9*12)</f>
        <v/>
      </c>
      <c r="D36" s="12">
        <f>IF(B36="","",C36-E36)</f>
        <v/>
      </c>
      <c r="E36" s="12">
        <f>IF(B36="","",F35-F36)</f>
        <v/>
      </c>
      <c r="F36" s="12">
        <f>IF(B36="","",MAX(0,ROUND(-FV($C$7/12,B36*12,-$C$9,$C$6),2)))</f>
        <v/>
      </c>
      <c r="G36" s="32">
        <f>IF(B36="","",IF($C$6&gt;0,1-F36/$C$6,0))</f>
        <v/>
      </c>
    </row>
    <row r="37">
      <c r="B37" s="29">
        <f>IF(B36="","",IF(B36&gt;=$C$8,"",B36+1))</f>
        <v/>
      </c>
      <c r="C37" s="12">
        <f>IF(B37="","",$C$9*12)</f>
        <v/>
      </c>
      <c r="D37" s="12">
        <f>IF(B37="","",C37-E37)</f>
        <v/>
      </c>
      <c r="E37" s="12">
        <f>IF(B37="","",F36-F37)</f>
        <v/>
      </c>
      <c r="F37" s="12">
        <f>IF(B37="","",MAX(0,ROUND(-FV($C$7/12,B37*12,-$C$9,$C$6),2)))</f>
        <v/>
      </c>
      <c r="G37" s="32">
        <f>IF(B37="","",IF($C$6&gt;0,1-F37/$C$6,0))</f>
        <v/>
      </c>
    </row>
    <row r="38">
      <c r="B38" s="29">
        <f>IF(B37="","",IF(B37&gt;=$C$8,"",B37+1))</f>
        <v/>
      </c>
      <c r="C38" s="12">
        <f>IF(B38="","",$C$9*12)</f>
        <v/>
      </c>
      <c r="D38" s="12">
        <f>IF(B38="","",C38-E38)</f>
        <v/>
      </c>
      <c r="E38" s="12">
        <f>IF(B38="","",F37-F38)</f>
        <v/>
      </c>
      <c r="F38" s="12">
        <f>IF(B38="","",MAX(0,ROUND(-FV($C$7/12,B38*12,-$C$9,$C$6),2)))</f>
        <v/>
      </c>
      <c r="G38" s="32">
        <f>IF(B38="","",IF($C$6&gt;0,1-F38/$C$6,0))</f>
        <v/>
      </c>
    </row>
    <row r="39">
      <c r="B39" s="29">
        <f>IF(B38="","",IF(B38&gt;=$C$8,"",B38+1))</f>
        <v/>
      </c>
      <c r="C39" s="12">
        <f>IF(B39="","",$C$9*12)</f>
        <v/>
      </c>
      <c r="D39" s="12">
        <f>IF(B39="","",C39-E39)</f>
        <v/>
      </c>
      <c r="E39" s="12">
        <f>IF(B39="","",F38-F39)</f>
        <v/>
      </c>
      <c r="F39" s="12">
        <f>IF(B39="","",MAX(0,ROUND(-FV($C$7/12,B39*12,-$C$9,$C$6),2)))</f>
        <v/>
      </c>
      <c r="G39" s="32">
        <f>IF(B39="","",IF($C$6&gt;0,1-F39/$C$6,0))</f>
        <v/>
      </c>
    </row>
    <row r="40">
      <c r="B40" s="29">
        <f>IF(B39="","",IF(B39&gt;=$C$8,"",B39+1))</f>
        <v/>
      </c>
      <c r="C40" s="12">
        <f>IF(B40="","",$C$9*12)</f>
        <v/>
      </c>
      <c r="D40" s="12">
        <f>IF(B40="","",C40-E40)</f>
        <v/>
      </c>
      <c r="E40" s="12">
        <f>IF(B40="","",F39-F40)</f>
        <v/>
      </c>
      <c r="F40" s="12">
        <f>IF(B40="","",MAX(0,ROUND(-FV($C$7/12,B40*12,-$C$9,$C$6),2)))</f>
        <v/>
      </c>
      <c r="G40" s="32">
        <f>IF(B40="","",IF($C$6&gt;0,1-F40/$C$6,0))</f>
        <v/>
      </c>
    </row>
    <row r="41">
      <c r="B41" s="29">
        <f>IF(B40="","",IF(B40&gt;=$C$8,"",B40+1))</f>
        <v/>
      </c>
      <c r="C41" s="12">
        <f>IF(B41="","",$C$9*12)</f>
        <v/>
      </c>
      <c r="D41" s="12">
        <f>IF(B41="","",C41-E41)</f>
        <v/>
      </c>
      <c r="E41" s="12">
        <f>IF(B41="","",F40-F41)</f>
        <v/>
      </c>
      <c r="F41" s="12">
        <f>IF(B41="","",MAX(0,ROUND(-FV($C$7/12,B41*12,-$C$9,$C$6),2)))</f>
        <v/>
      </c>
      <c r="G41" s="32">
        <f>IF(B41="","",IF($C$6&gt;0,1-F41/$C$6,0))</f>
        <v/>
      </c>
    </row>
    <row r="42">
      <c r="B42" s="29">
        <f>IF(B41="","",IF(B41&gt;=$C$8,"",B41+1))</f>
        <v/>
      </c>
      <c r="C42" s="12">
        <f>IF(B42="","",$C$9*12)</f>
        <v/>
      </c>
      <c r="D42" s="12">
        <f>IF(B42="","",C42-E42)</f>
        <v/>
      </c>
      <c r="E42" s="12">
        <f>IF(B42="","",F41-F42)</f>
        <v/>
      </c>
      <c r="F42" s="12">
        <f>IF(B42="","",MAX(0,ROUND(-FV($C$7/12,B42*12,-$C$9,$C$6),2)))</f>
        <v/>
      </c>
      <c r="G42" s="32">
        <f>IF(B42="","",IF($C$6&gt;0,1-F42/$C$6,0))</f>
        <v/>
      </c>
    </row>
    <row r="43">
      <c r="B43" s="29">
        <f>IF(B42="","",IF(B42&gt;=$C$8,"",B42+1))</f>
        <v/>
      </c>
      <c r="C43" s="12">
        <f>IF(B43="","",$C$9*12)</f>
        <v/>
      </c>
      <c r="D43" s="12">
        <f>IF(B43="","",C43-E43)</f>
        <v/>
      </c>
      <c r="E43" s="12">
        <f>IF(B43="","",F42-F43)</f>
        <v/>
      </c>
      <c r="F43" s="12">
        <f>IF(B43="","",MAX(0,ROUND(-FV($C$7/12,B43*12,-$C$9,$C$6),2)))</f>
        <v/>
      </c>
      <c r="G43" s="32">
        <f>IF(B43="","",IF($C$6&gt;0,1-F43/$C$6,0))</f>
        <v/>
      </c>
    </row>
    <row r="44">
      <c r="B44" s="29">
        <f>IF(B43="","",IF(B43&gt;=$C$8,"",B43+1))</f>
        <v/>
      </c>
      <c r="C44" s="12">
        <f>IF(B44="","",$C$9*12)</f>
        <v/>
      </c>
      <c r="D44" s="12">
        <f>IF(B44="","",C44-E44)</f>
        <v/>
      </c>
      <c r="E44" s="12">
        <f>IF(B44="","",F43-F44)</f>
        <v/>
      </c>
      <c r="F44" s="12">
        <f>IF(B44="","",MAX(0,ROUND(-FV($C$7/12,B44*12,-$C$9,$C$6),2)))</f>
        <v/>
      </c>
      <c r="G44" s="32">
        <f>IF(B44="","",IF($C$6&gt;0,1-F44/$C$6,0))</f>
        <v/>
      </c>
    </row>
    <row r="45">
      <c r="B45" s="29">
        <f>IF(B44="","",IF(B44&gt;=$C$8,"",B44+1))</f>
        <v/>
      </c>
      <c r="C45" s="12">
        <f>IF(B45="","",$C$9*12)</f>
        <v/>
      </c>
      <c r="D45" s="12">
        <f>IF(B45="","",C45-E45)</f>
        <v/>
      </c>
      <c r="E45" s="12">
        <f>IF(B45="","",F44-F45)</f>
        <v/>
      </c>
      <c r="F45" s="12">
        <f>IF(B45="","",MAX(0,ROUND(-FV($C$7/12,B45*12,-$C$9,$C$6),2)))</f>
        <v/>
      </c>
      <c r="G45" s="32">
        <f>IF(B45="","",IF($C$6&gt;0,1-F45/$C$6,0))</f>
        <v/>
      </c>
    </row>
    <row r="46">
      <c r="B46" s="29">
        <f>IF(B45="","",IF(B45&gt;=$C$8,"",B45+1))</f>
        <v/>
      </c>
      <c r="C46" s="12">
        <f>IF(B46="","",$C$9*12)</f>
        <v/>
      </c>
      <c r="D46" s="12">
        <f>IF(B46="","",C46-E46)</f>
        <v/>
      </c>
      <c r="E46" s="12">
        <f>IF(B46="","",F45-F46)</f>
        <v/>
      </c>
      <c r="F46" s="12">
        <f>IF(B46="","",MAX(0,ROUND(-FV($C$7/12,B46*12,-$C$9,$C$6),2)))</f>
        <v/>
      </c>
      <c r="G46" s="32">
        <f>IF(B46="","",IF($C$6&gt;0,1-F46/$C$6,0))</f>
        <v/>
      </c>
    </row>
    <row r="47">
      <c r="B47" s="29">
        <f>IF(B46="","",IF(B46&gt;=$C$8,"",B46+1))</f>
        <v/>
      </c>
      <c r="C47" s="12">
        <f>IF(B47="","",$C$9*12)</f>
        <v/>
      </c>
      <c r="D47" s="12">
        <f>IF(B47="","",C47-E47)</f>
        <v/>
      </c>
      <c r="E47" s="12">
        <f>IF(B47="","",F46-F47)</f>
        <v/>
      </c>
      <c r="F47" s="12">
        <f>IF(B47="","",MAX(0,ROUND(-FV($C$7/12,B47*12,-$C$9,$C$6),2)))</f>
        <v/>
      </c>
      <c r="G47" s="32">
        <f>IF(B47="","",IF($C$6&gt;0,1-F47/$C$6,0))</f>
        <v/>
      </c>
    </row>
    <row r="48">
      <c r="B48" s="29">
        <f>IF(B47="","",IF(B47&gt;=$C$8,"",B47+1))</f>
        <v/>
      </c>
      <c r="C48" s="12">
        <f>IF(B48="","",$C$9*12)</f>
        <v/>
      </c>
      <c r="D48" s="12">
        <f>IF(B48="","",C48-E48)</f>
        <v/>
      </c>
      <c r="E48" s="12">
        <f>IF(B48="","",F47-F48)</f>
        <v/>
      </c>
      <c r="F48" s="12">
        <f>IF(B48="","",MAX(0,ROUND(-FV($C$7/12,B48*12,-$C$9,$C$6),2)))</f>
        <v/>
      </c>
      <c r="G48" s="32">
        <f>IF(B48="","",IF($C$6&gt;0,1-F48/$C$6,0))</f>
        <v/>
      </c>
    </row>
    <row r="49">
      <c r="B49" s="29">
        <f>IF(B48="","",IF(B48&gt;=$C$8,"",B48+1))</f>
        <v/>
      </c>
      <c r="C49" s="12">
        <f>IF(B49="","",$C$9*12)</f>
        <v/>
      </c>
      <c r="D49" s="12">
        <f>IF(B49="","",C49-E49)</f>
        <v/>
      </c>
      <c r="E49" s="12">
        <f>IF(B49="","",F48-F49)</f>
        <v/>
      </c>
      <c r="F49" s="12">
        <f>IF(B49="","",MAX(0,ROUND(-FV($C$7/12,B49*12,-$C$9,$C$6),2)))</f>
        <v/>
      </c>
      <c r="G49" s="32">
        <f>IF(B49="","",IF($C$6&gt;0,1-F49/$C$6,0))</f>
        <v/>
      </c>
    </row>
    <row r="50">
      <c r="B50" s="29">
        <f>IF(B49="","",IF(B49&gt;=$C$8,"",B49+1))</f>
        <v/>
      </c>
      <c r="C50" s="12">
        <f>IF(B50="","",$C$9*12)</f>
        <v/>
      </c>
      <c r="D50" s="12">
        <f>IF(B50="","",C50-E50)</f>
        <v/>
      </c>
      <c r="E50" s="12">
        <f>IF(B50="","",F49-F50)</f>
        <v/>
      </c>
      <c r="F50" s="12">
        <f>IF(B50="","",MAX(0,ROUND(-FV($C$7/12,B50*12,-$C$9,$C$6),2)))</f>
        <v/>
      </c>
      <c r="G50" s="32">
        <f>IF(B50="","",IF($C$6&gt;0,1-F50/$C$6,0))</f>
        <v/>
      </c>
    </row>
    <row r="51">
      <c r="B51" s="29">
        <f>IF(B50="","",IF(B50&gt;=$C$8,"",B50+1))</f>
        <v/>
      </c>
      <c r="C51" s="12">
        <f>IF(B51="","",$C$9*12)</f>
        <v/>
      </c>
      <c r="D51" s="12">
        <f>IF(B51="","",C51-E51)</f>
        <v/>
      </c>
      <c r="E51" s="12">
        <f>IF(B51="","",F50-F51)</f>
        <v/>
      </c>
      <c r="F51" s="12">
        <f>IF(B51="","",MAX(0,ROUND(-FV($C$7/12,B51*12,-$C$9,$C$6),2)))</f>
        <v/>
      </c>
      <c r="G51" s="32">
        <f>IF(B51="","",IF($C$6&gt;0,1-F51/$C$6,0))</f>
        <v/>
      </c>
    </row>
    <row r="52">
      <c r="B52" s="29">
        <f>IF(B51="","",IF(B51&gt;=$C$8,"",B51+1))</f>
        <v/>
      </c>
      <c r="C52" s="12">
        <f>IF(B52="","",$C$9*12)</f>
        <v/>
      </c>
      <c r="D52" s="12">
        <f>IF(B52="","",C52-E52)</f>
        <v/>
      </c>
      <c r="E52" s="12">
        <f>IF(B52="","",F51-F52)</f>
        <v/>
      </c>
      <c r="F52" s="12">
        <f>IF(B52="","",MAX(0,ROUND(-FV($C$7/12,B52*12,-$C$9,$C$6),2)))</f>
        <v/>
      </c>
      <c r="G52" s="32">
        <f>IF(B52="","",IF($C$6&gt;0,1-F52/$C$6,0))</f>
        <v/>
      </c>
    </row>
    <row r="53">
      <c r="B53" s="29">
        <f>IF(B52="","",IF(B52&gt;=$C$8,"",B52+1))</f>
        <v/>
      </c>
      <c r="C53" s="12">
        <f>IF(B53="","",$C$9*12)</f>
        <v/>
      </c>
      <c r="D53" s="12">
        <f>IF(B53="","",C53-E53)</f>
        <v/>
      </c>
      <c r="E53" s="12">
        <f>IF(B53="","",F52-F53)</f>
        <v/>
      </c>
      <c r="F53" s="12">
        <f>IF(B53="","",MAX(0,ROUND(-FV($C$7/12,B53*12,-$C$9,$C$6),2)))</f>
        <v/>
      </c>
      <c r="G53" s="32">
        <f>IF(B53="","",IF($C$6&gt;0,1-F53/$C$6,0))</f>
        <v/>
      </c>
    </row>
    <row r="54">
      <c r="B54" s="29">
        <f>IF(B53="","",IF(B53&gt;=$C$8,"",B53+1))</f>
        <v/>
      </c>
      <c r="C54" s="12">
        <f>IF(B54="","",$C$9*12)</f>
        <v/>
      </c>
      <c r="D54" s="12">
        <f>IF(B54="","",C54-E54)</f>
        <v/>
      </c>
      <c r="E54" s="12">
        <f>IF(B54="","",F53-F54)</f>
        <v/>
      </c>
      <c r="F54" s="12">
        <f>IF(B54="","",MAX(0,ROUND(-FV($C$7/12,B54*12,-$C$9,$C$6),2)))</f>
        <v/>
      </c>
      <c r="G54" s="32">
        <f>IF(B54="","",IF($C$6&gt;0,1-F54/$C$6,0))</f>
        <v/>
      </c>
    </row>
    <row r="55">
      <c r="B55" s="29">
        <f>IF(B54="","",IF(B54&gt;=$C$8,"",B54+1))</f>
        <v/>
      </c>
      <c r="C55" s="12">
        <f>IF(B55="","",$C$9*12)</f>
        <v/>
      </c>
      <c r="D55" s="12">
        <f>IF(B55="","",C55-E55)</f>
        <v/>
      </c>
      <c r="E55" s="12">
        <f>IF(B55="","",F54-F55)</f>
        <v/>
      </c>
      <c r="F55" s="12">
        <f>IF(B55="","",MAX(0,ROUND(-FV($C$7/12,B55*12,-$C$9,$C$6),2)))</f>
        <v/>
      </c>
      <c r="G55" s="32">
        <f>IF(B55="","",IF($C$6&gt;0,1-F55/$C$6,0))</f>
        <v/>
      </c>
    </row>
    <row r="56">
      <c r="B56" s="29">
        <f>IF(B55="","",IF(B55&gt;=$C$8,"",B55+1))</f>
        <v/>
      </c>
      <c r="C56" s="12">
        <f>IF(B56="","",$C$9*12)</f>
        <v/>
      </c>
      <c r="D56" s="12">
        <f>IF(B56="","",C56-E56)</f>
        <v/>
      </c>
      <c r="E56" s="12">
        <f>IF(B56="","",F55-F56)</f>
        <v/>
      </c>
      <c r="F56" s="12">
        <f>IF(B56="","",MAX(0,ROUND(-FV($C$7/12,B56*12,-$C$9,$C$6),2)))</f>
        <v/>
      </c>
      <c r="G56" s="32">
        <f>IF(B56="","",IF($C$6&gt;0,1-F56/$C$6,0))</f>
        <v/>
      </c>
    </row>
    <row r="57">
      <c r="B57" s="29">
        <f>IF(B56="","",IF(B56&gt;=$C$8,"",B56+1))</f>
        <v/>
      </c>
      <c r="C57" s="12">
        <f>IF(B57="","",$C$9*12)</f>
        <v/>
      </c>
      <c r="D57" s="12">
        <f>IF(B57="","",C57-E57)</f>
        <v/>
      </c>
      <c r="E57" s="12">
        <f>IF(B57="","",F56-F57)</f>
        <v/>
      </c>
      <c r="F57" s="12">
        <f>IF(B57="","",MAX(0,ROUND(-FV($C$7/12,B57*12,-$C$9,$C$6),2)))</f>
        <v/>
      </c>
      <c r="G57" s="32">
        <f>IF(B57="","",IF($C$6&gt;0,1-F57/$C$6,0))</f>
        <v/>
      </c>
    </row>
    <row r="58">
      <c r="B58" s="29">
        <f>IF(B57="","",IF(B57&gt;=$C$8,"",B57+1))</f>
        <v/>
      </c>
      <c r="C58" s="12">
        <f>IF(B58="","",$C$9*12)</f>
        <v/>
      </c>
      <c r="D58" s="12">
        <f>IF(B58="","",C58-E58)</f>
        <v/>
      </c>
      <c r="E58" s="12">
        <f>IF(B58="","",F57-F58)</f>
        <v/>
      </c>
      <c r="F58" s="12">
        <f>IF(B58="","",MAX(0,ROUND(-FV($C$7/12,B58*12,-$C$9,$C$6),2)))</f>
        <v/>
      </c>
      <c r="G58" s="32">
        <f>IF(B58="","",IF($C$6&gt;0,1-F58/$C$6,0))</f>
        <v/>
      </c>
    </row>
    <row r="59">
      <c r="B59" s="29">
        <f>IF(B58="","",IF(B58&gt;=$C$8,"",B58+1))</f>
        <v/>
      </c>
      <c r="C59" s="12">
        <f>IF(B59="","",$C$9*12)</f>
        <v/>
      </c>
      <c r="D59" s="12">
        <f>IF(B59="","",C59-E59)</f>
        <v/>
      </c>
      <c r="E59" s="12">
        <f>IF(B59="","",F58-F59)</f>
        <v/>
      </c>
      <c r="F59" s="12">
        <f>IF(B59="","",MAX(0,ROUND(-FV($C$7/12,B59*12,-$C$9,$C$6),2)))</f>
        <v/>
      </c>
      <c r="G59" s="32">
        <f>IF(B59="","",IF($C$6&gt;0,1-F59/$C$6,0))</f>
        <v/>
      </c>
    </row>
    <row r="60">
      <c r="B60" s="29">
        <f>IF(B59="","",IF(B59&gt;=$C$8,"",B59+1))</f>
        <v/>
      </c>
      <c r="C60" s="12">
        <f>IF(B60="","",$C$9*12)</f>
        <v/>
      </c>
      <c r="D60" s="12">
        <f>IF(B60="","",C60-E60)</f>
        <v/>
      </c>
      <c r="E60" s="12">
        <f>IF(B60="","",F59-F60)</f>
        <v/>
      </c>
      <c r="F60" s="12">
        <f>IF(B60="","",MAX(0,ROUND(-FV($C$7/12,B60*12,-$C$9,$C$6),2)))</f>
        <v/>
      </c>
      <c r="G60" s="32">
        <f>IF(B60="","",IF($C$6&gt;0,1-F60/$C$6,0))</f>
        <v/>
      </c>
    </row>
    <row r="61">
      <c r="B61" s="29">
        <f>IF(B60="","",IF(B60&gt;=$C$8,"",B60+1))</f>
        <v/>
      </c>
      <c r="C61" s="12">
        <f>IF(B61="","",$C$9*12)</f>
        <v/>
      </c>
      <c r="D61" s="12">
        <f>IF(B61="","",C61-E61)</f>
        <v/>
      </c>
      <c r="E61" s="12">
        <f>IF(B61="","",F60-F61)</f>
        <v/>
      </c>
      <c r="F61" s="12">
        <f>IF(B61="","",MAX(0,ROUND(-FV($C$7/12,B61*12,-$C$9,$C$6),2)))</f>
        <v/>
      </c>
      <c r="G61" s="32">
        <f>IF(B61="","",IF($C$6&gt;0,1-F61/$C$6,0))</f>
        <v/>
      </c>
    </row>
    <row r="62">
      <c r="B62" s="29">
        <f>IF(B61="","",IF(B61&gt;=$C$8,"",B61+1))</f>
        <v/>
      </c>
      <c r="C62" s="12">
        <f>IF(B62="","",$C$9*12)</f>
        <v/>
      </c>
      <c r="D62" s="12">
        <f>IF(B62="","",C62-E62)</f>
        <v/>
      </c>
      <c r="E62" s="12">
        <f>IF(B62="","",F61-F62)</f>
        <v/>
      </c>
      <c r="F62" s="12">
        <f>IF(B62="","",MAX(0,ROUND(-FV($C$7/12,B62*12,-$C$9,$C$6),2)))</f>
        <v/>
      </c>
      <c r="G62" s="32">
        <f>IF(B62="","",IF($C$6&gt;0,1-F62/$C$6,0))</f>
        <v/>
      </c>
    </row>
    <row r="63">
      <c r="B63" s="29">
        <f>IF(B62="","",IF(B62&gt;=$C$8,"",B62+1))</f>
        <v/>
      </c>
      <c r="C63" s="12">
        <f>IF(B63="","",$C$9*12)</f>
        <v/>
      </c>
      <c r="D63" s="12">
        <f>IF(B63="","",C63-E63)</f>
        <v/>
      </c>
      <c r="E63" s="12">
        <f>IF(B63="","",F62-F63)</f>
        <v/>
      </c>
      <c r="F63" s="12">
        <f>IF(B63="","",MAX(0,ROUND(-FV($C$7/12,B63*12,-$C$9,$C$6),2)))</f>
        <v/>
      </c>
      <c r="G63" s="32">
        <f>IF(B63="","",IF($C$6&gt;0,1-F63/$C$6,0))</f>
        <v/>
      </c>
    </row>
    <row r="64">
      <c r="B64" s="29">
        <f>IF(B63="","",IF(B63&gt;=$C$8,"",B63+1))</f>
        <v/>
      </c>
      <c r="C64" s="12">
        <f>IF(B64="","",$C$9*12)</f>
        <v/>
      </c>
      <c r="D64" s="12">
        <f>IF(B64="","",C64-E64)</f>
        <v/>
      </c>
      <c r="E64" s="12">
        <f>IF(B64="","",F63-F64)</f>
        <v/>
      </c>
      <c r="F64" s="12">
        <f>IF(B64="","",MAX(0,ROUND(-FV($C$7/12,B64*12,-$C$9,$C$6),2)))</f>
        <v/>
      </c>
      <c r="G64" s="32">
        <f>IF(B64="","",IF($C$6&gt;0,1-F64/$C$6,0))</f>
        <v/>
      </c>
    </row>
    <row r="65">
      <c r="B65" s="29">
        <f>IF(B64="","",IF(B64&gt;=$C$8,"",B64+1))</f>
        <v/>
      </c>
      <c r="C65" s="12">
        <f>IF(B65="","",$C$9*12)</f>
        <v/>
      </c>
      <c r="D65" s="12">
        <f>IF(B65="","",C65-E65)</f>
        <v/>
      </c>
      <c r="E65" s="12">
        <f>IF(B65="","",F64-F65)</f>
        <v/>
      </c>
      <c r="F65" s="12">
        <f>IF(B65="","",MAX(0,ROUND(-FV($C$7/12,B65*12,-$C$9,$C$6),2)))</f>
        <v/>
      </c>
      <c r="G65" s="32">
        <f>IF(B65="","",IF($C$6&gt;0,1-F65/$C$6,0))</f>
        <v/>
      </c>
    </row>
    <row r="66">
      <c r="B66" s="11" t="inlineStr">
        <is>
          <t>TOTAL</t>
        </is>
      </c>
      <c r="C66" s="23">
        <f>SUM(C26:C65)</f>
        <v/>
      </c>
      <c r="D66" s="23">
        <f>SUM(D26:D65)</f>
        <v/>
      </c>
      <c r="E66" s="23">
        <f>SUM(E26:E65)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C17:G21">
    <cfRule type="expression" priority="1" dxfId="0">
      <formula>AND(ISNUMBER(C17),C17&gt;$C$10)</formula>
    </cfRule>
    <cfRule type="expression" priority="2" dxfId="2">
      <formula>AND(ISNUMBER(C17),C17&lt;=$C$10)</formula>
    </cfRule>
  </conditionalFormatting>
  <conditionalFormatting sqref="B26:G65">
    <cfRule type="expression" priority="3" dxfId="1">
      <formula>MOD(ROW(),2)=0</formula>
    </cfRule>
  </conditionalFormatting>
  <conditionalFormatting sqref="G26:G65">
    <cfRule type="dataBar" priority="4">
      <dataBar>
        <cfvo type="num" val="0"/>
        <cfvo type="max"/>
        <color rgb="0034D399"/>
      </dataBar>
    </cfRule>
  </conditionalFormatting>
  <dataValidations count="1">
    <dataValidation sqref="C5" showDropDown="0" showInputMessage="0" showErrorMessage="0" allowBlank="1" type="list">
      <formula1>"A,B"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I57"/>
  <sheetViews>
    <sheetView showGridLines="0" tabSelected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2" customWidth="1" min="1" max="1"/>
    <col width="10" customWidth="1" min="2" max="2"/>
    <col width="14" customWidth="1" min="3" max="3"/>
    <col width="17" customWidth="1" min="4" max="4"/>
    <col width="17" customWidth="1" min="5" max="5"/>
    <col width="18" customWidth="1" min="6" max="6"/>
    <col width="17" customWidth="1" min="7" max="7"/>
    <col width="14" customWidth="1" min="8" max="8"/>
    <col width="20" customWidth="1" min="9" max="9"/>
    <col width="3" customWidth="1" min="10" max="10"/>
  </cols>
  <sheetData>
    <row r="2" ht="34" customHeight="1">
      <c r="B2" s="1" t="inlineStr">
        <is>
          <t>Plan de ahorro hasta la compra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Proyección mensual de tu ahorro frente al efectivo necesario de la oferta de referencia.</t>
        </is>
      </c>
    </row>
    <row r="5">
      <c r="B5" s="11" t="inlineStr">
        <is>
          <t>Oferta de referencia</t>
        </is>
      </c>
      <c r="D5" s="13">
        <f>Datos!C43</f>
        <v/>
      </c>
    </row>
    <row r="6">
      <c r="B6" s="11" t="inlineStr">
        <is>
          <t>Efectivo necesario (entrada + gastos)</t>
        </is>
      </c>
      <c r="D6" s="23">
        <f>IF(D5="A",Datos!C54,Datos!D54)</f>
        <v/>
      </c>
    </row>
    <row r="7">
      <c r="B7" s="11" t="inlineStr">
        <is>
          <t>Ahorro actual</t>
        </is>
      </c>
      <c r="D7" s="33">
        <f>Datos!C37</f>
        <v/>
      </c>
    </row>
    <row r="8">
      <c r="B8" s="11" t="inlineStr">
        <is>
          <t>Aportación mensual prevista</t>
        </is>
      </c>
      <c r="D8" s="33">
        <f>Datos!C38</f>
        <v/>
      </c>
    </row>
    <row r="9">
      <c r="B9" s="11" t="inlineStr">
        <is>
          <t>Rentabilidad anual del ahorro</t>
        </is>
      </c>
      <c r="D9" s="34">
        <f>Datos!C39</f>
        <v/>
      </c>
    </row>
    <row r="10">
      <c r="B10" s="11" t="inlineStr">
        <is>
          <t>Meses hasta la fecha objetivo</t>
        </is>
      </c>
      <c r="D10" s="35">
        <f>Datos!C63</f>
        <v/>
      </c>
    </row>
    <row r="11">
      <c r="B11" s="11" t="inlineStr">
        <is>
          <t>Ahorro mensual necesario</t>
        </is>
      </c>
      <c r="D11" s="23">
        <f>IF(D5="A",Datos!C64,Datos!D64)</f>
        <v/>
      </c>
    </row>
    <row r="12">
      <c r="B12" s="11" t="inlineStr">
        <is>
          <t>Mes en que alcanzas el objetivo</t>
        </is>
      </c>
      <c r="D12" s="36">
        <f>IF(D7&gt;=D6,"Ya lo tienes",IFERROR(INDEX(C17:C56,MATCH("Objetivo alcanzado",I17:I56,0)),"Más de 40 meses"))</f>
        <v/>
      </c>
    </row>
    <row r="13">
      <c r="B13" s="11" t="inlineStr">
        <is>
          <t>Ahorro previsto en la fecha objetivo</t>
        </is>
      </c>
      <c r="D13" s="33">
        <f>IF(AND(D10&gt;=1,D10&lt;=40),INDEX(F17:F56,D10),"—")</f>
        <v/>
      </c>
    </row>
    <row r="14">
      <c r="B14" s="11" t="inlineStr">
        <is>
          <t>Diferencia frente al efectivo necesario</t>
        </is>
      </c>
      <c r="D14" s="33">
        <f>IF(ISNUMBER(D13),D13-D6,"—")</f>
        <v/>
      </c>
    </row>
    <row r="16" ht="32" customHeight="1">
      <c r="B16" s="10" t="inlineStr">
        <is>
          <t>Nº mes</t>
        </is>
      </c>
      <c r="C16" s="10" t="inlineStr">
        <is>
          <t>Mes</t>
        </is>
      </c>
      <c r="D16" s="10" t="inlineStr">
        <is>
          <t>Aportación mensual</t>
        </is>
      </c>
      <c r="E16" s="10" t="inlineStr">
        <is>
          <t>Ingreso extra del mes</t>
        </is>
      </c>
      <c r="F16" s="10" t="inlineStr">
        <is>
          <t>Ahorro acumulado</t>
        </is>
      </c>
      <c r="G16" s="10" t="inlineStr">
        <is>
          <t>Efectivo necesario</t>
        </is>
      </c>
      <c r="H16" s="10" t="inlineStr">
        <is>
          <t>% del objetivo</t>
        </is>
      </c>
      <c r="I16" s="10" t="inlineStr">
        <is>
          <t>Estado</t>
        </is>
      </c>
    </row>
    <row r="17">
      <c r="B17" s="29" t="n">
        <v>1</v>
      </c>
      <c r="C17" s="37">
        <f>EDATE(Datos!$C$40,B17)</f>
        <v/>
      </c>
      <c r="D17" s="12">
        <f>$D$8</f>
        <v/>
      </c>
      <c r="E17" s="18" t="n"/>
      <c r="F17" s="33">
        <f>$D$7*(1+$D$9/12)+D17+N(E17)</f>
        <v/>
      </c>
      <c r="G17" s="12">
        <f>$D$6</f>
        <v/>
      </c>
      <c r="H17" s="32">
        <f>IF(G17&gt;0,F17/G17,0)</f>
        <v/>
      </c>
      <c r="I17" s="15">
        <f>IF(F17&gt;=G17,"Objetivo alcanzado","En camino")</f>
        <v/>
      </c>
    </row>
    <row r="18">
      <c r="B18" s="29" t="n">
        <v>2</v>
      </c>
      <c r="C18" s="37">
        <f>EDATE(Datos!$C$40,B18)</f>
        <v/>
      </c>
      <c r="D18" s="12">
        <f>$D$8</f>
        <v/>
      </c>
      <c r="E18" s="18" t="n"/>
      <c r="F18" s="33">
        <f>F17*(1+$D$9/12)+D18+N(E18)</f>
        <v/>
      </c>
      <c r="G18" s="12">
        <f>$D$6</f>
        <v/>
      </c>
      <c r="H18" s="32">
        <f>IF(G18&gt;0,F18/G18,0)</f>
        <v/>
      </c>
      <c r="I18" s="15">
        <f>IF(F18&gt;=G18,"Objetivo alcanzado","En camino")</f>
        <v/>
      </c>
    </row>
    <row r="19">
      <c r="B19" s="29" t="n">
        <v>3</v>
      </c>
      <c r="C19" s="37">
        <f>EDATE(Datos!$C$40,B19)</f>
        <v/>
      </c>
      <c r="D19" s="12">
        <f>$D$8</f>
        <v/>
      </c>
      <c r="E19" s="18" t="n">
        <v>1200</v>
      </c>
      <c r="F19" s="33">
        <f>F18*(1+$D$9/12)+D19+N(E19)</f>
        <v/>
      </c>
      <c r="G19" s="12">
        <f>$D$6</f>
        <v/>
      </c>
      <c r="H19" s="32">
        <f>IF(G19&gt;0,F19/G19,0)</f>
        <v/>
      </c>
      <c r="I19" s="15">
        <f>IF(F19&gt;=G19,"Objetivo alcanzado","En camino")</f>
        <v/>
      </c>
    </row>
    <row r="20">
      <c r="B20" s="29" t="n">
        <v>4</v>
      </c>
      <c r="C20" s="37">
        <f>EDATE(Datos!$C$40,B20)</f>
        <v/>
      </c>
      <c r="D20" s="12">
        <f>$D$8</f>
        <v/>
      </c>
      <c r="E20" s="18" t="n"/>
      <c r="F20" s="33">
        <f>F19*(1+$D$9/12)+D20+N(E20)</f>
        <v/>
      </c>
      <c r="G20" s="12">
        <f>$D$6</f>
        <v/>
      </c>
      <c r="H20" s="32">
        <f>IF(G20&gt;0,F20/G20,0)</f>
        <v/>
      </c>
      <c r="I20" s="15">
        <f>IF(F20&gt;=G20,"Objetivo alcanzado","En camino")</f>
        <v/>
      </c>
    </row>
    <row r="21">
      <c r="B21" s="29" t="n">
        <v>5</v>
      </c>
      <c r="C21" s="37">
        <f>EDATE(Datos!$C$40,B21)</f>
        <v/>
      </c>
      <c r="D21" s="12">
        <f>$D$8</f>
        <v/>
      </c>
      <c r="E21" s="18" t="n"/>
      <c r="F21" s="33">
        <f>F20*(1+$D$9/12)+D21+N(E21)</f>
        <v/>
      </c>
      <c r="G21" s="12">
        <f>$D$6</f>
        <v/>
      </c>
      <c r="H21" s="32">
        <f>IF(G21&gt;0,F21/G21,0)</f>
        <v/>
      </c>
      <c r="I21" s="15">
        <f>IF(F21&gt;=G21,"Objetivo alcanzado","En camino")</f>
        <v/>
      </c>
    </row>
    <row r="22">
      <c r="B22" s="29" t="n">
        <v>6</v>
      </c>
      <c r="C22" s="37">
        <f>EDATE(Datos!$C$40,B22)</f>
        <v/>
      </c>
      <c r="D22" s="12">
        <f>$D$8</f>
        <v/>
      </c>
      <c r="E22" s="18" t="n"/>
      <c r="F22" s="33">
        <f>F21*(1+$D$9/12)+D22+N(E22)</f>
        <v/>
      </c>
      <c r="G22" s="12">
        <f>$D$6</f>
        <v/>
      </c>
      <c r="H22" s="32">
        <f>IF(G22&gt;0,F22/G22,0)</f>
        <v/>
      </c>
      <c r="I22" s="15">
        <f>IF(F22&gt;=G22,"Objetivo alcanzado","En camino")</f>
        <v/>
      </c>
    </row>
    <row r="23">
      <c r="B23" s="29" t="n">
        <v>7</v>
      </c>
      <c r="C23" s="37">
        <f>EDATE(Datos!$C$40,B23)</f>
        <v/>
      </c>
      <c r="D23" s="12">
        <f>$D$8</f>
        <v/>
      </c>
      <c r="E23" s="18" t="n"/>
      <c r="F23" s="33">
        <f>F22*(1+$D$9/12)+D23+N(E23)</f>
        <v/>
      </c>
      <c r="G23" s="12">
        <f>$D$6</f>
        <v/>
      </c>
      <c r="H23" s="32">
        <f>IF(G23&gt;0,F23/G23,0)</f>
        <v/>
      </c>
      <c r="I23" s="15">
        <f>IF(F23&gt;=G23,"Objetivo alcanzado","En camino")</f>
        <v/>
      </c>
    </row>
    <row r="24">
      <c r="B24" s="29" t="n">
        <v>8</v>
      </c>
      <c r="C24" s="37">
        <f>EDATE(Datos!$C$40,B24)</f>
        <v/>
      </c>
      <c r="D24" s="12">
        <f>$D$8</f>
        <v/>
      </c>
      <c r="E24" s="18" t="n"/>
      <c r="F24" s="33">
        <f>F23*(1+$D$9/12)+D24+N(E24)</f>
        <v/>
      </c>
      <c r="G24" s="12">
        <f>$D$6</f>
        <v/>
      </c>
      <c r="H24" s="32">
        <f>IF(G24&gt;0,F24/G24,0)</f>
        <v/>
      </c>
      <c r="I24" s="15">
        <f>IF(F24&gt;=G24,"Objetivo alcanzado","En camino")</f>
        <v/>
      </c>
    </row>
    <row r="25">
      <c r="B25" s="29" t="n">
        <v>9</v>
      </c>
      <c r="C25" s="37">
        <f>EDATE(Datos!$C$40,B25)</f>
        <v/>
      </c>
      <c r="D25" s="12">
        <f>$D$8</f>
        <v/>
      </c>
      <c r="E25" s="18" t="n">
        <v>1500</v>
      </c>
      <c r="F25" s="33">
        <f>F24*(1+$D$9/12)+D25+N(E25)</f>
        <v/>
      </c>
      <c r="G25" s="12">
        <f>$D$6</f>
        <v/>
      </c>
      <c r="H25" s="32">
        <f>IF(G25&gt;0,F25/G25,0)</f>
        <v/>
      </c>
      <c r="I25" s="15">
        <f>IF(F25&gt;=G25,"Objetivo alcanzado","En camino")</f>
        <v/>
      </c>
    </row>
    <row r="26">
      <c r="B26" s="29" t="n">
        <v>10</v>
      </c>
      <c r="C26" s="37">
        <f>EDATE(Datos!$C$40,B26)</f>
        <v/>
      </c>
      <c r="D26" s="12">
        <f>$D$8</f>
        <v/>
      </c>
      <c r="E26" s="18" t="n"/>
      <c r="F26" s="33">
        <f>F25*(1+$D$9/12)+D26+N(E26)</f>
        <v/>
      </c>
      <c r="G26" s="12">
        <f>$D$6</f>
        <v/>
      </c>
      <c r="H26" s="32">
        <f>IF(G26&gt;0,F26/G26,0)</f>
        <v/>
      </c>
      <c r="I26" s="15">
        <f>IF(F26&gt;=G26,"Objetivo alcanzado","En camino")</f>
        <v/>
      </c>
    </row>
    <row r="27">
      <c r="B27" s="29" t="n">
        <v>11</v>
      </c>
      <c r="C27" s="37">
        <f>EDATE(Datos!$C$40,B27)</f>
        <v/>
      </c>
      <c r="D27" s="12">
        <f>$D$8</f>
        <v/>
      </c>
      <c r="E27" s="18" t="n"/>
      <c r="F27" s="33">
        <f>F26*(1+$D$9/12)+D27+N(E27)</f>
        <v/>
      </c>
      <c r="G27" s="12">
        <f>$D$6</f>
        <v/>
      </c>
      <c r="H27" s="32">
        <f>IF(G27&gt;0,F27/G27,0)</f>
        <v/>
      </c>
      <c r="I27" s="15">
        <f>IF(F27&gt;=G27,"Objetivo alcanzado","En camino")</f>
        <v/>
      </c>
    </row>
    <row r="28">
      <c r="B28" s="29" t="n">
        <v>12</v>
      </c>
      <c r="C28" s="37">
        <f>EDATE(Datos!$C$40,B28)</f>
        <v/>
      </c>
      <c r="D28" s="12">
        <f>$D$8</f>
        <v/>
      </c>
      <c r="E28" s="18" t="n"/>
      <c r="F28" s="33">
        <f>F27*(1+$D$9/12)+D28+N(E28)</f>
        <v/>
      </c>
      <c r="G28" s="12">
        <f>$D$6</f>
        <v/>
      </c>
      <c r="H28" s="32">
        <f>IF(G28&gt;0,F28/G28,0)</f>
        <v/>
      </c>
      <c r="I28" s="15">
        <f>IF(F28&gt;=G28,"Objetivo alcanzado","En camino")</f>
        <v/>
      </c>
    </row>
    <row r="29">
      <c r="B29" s="29" t="n">
        <v>13</v>
      </c>
      <c r="C29" s="37">
        <f>EDATE(Datos!$C$40,B29)</f>
        <v/>
      </c>
      <c r="D29" s="12">
        <f>$D$8</f>
        <v/>
      </c>
      <c r="E29" s="18" t="n"/>
      <c r="F29" s="33">
        <f>F28*(1+$D$9/12)+D29+N(E29)</f>
        <v/>
      </c>
      <c r="G29" s="12">
        <f>$D$6</f>
        <v/>
      </c>
      <c r="H29" s="32">
        <f>IF(G29&gt;0,F29/G29,0)</f>
        <v/>
      </c>
      <c r="I29" s="15">
        <f>IF(F29&gt;=G29,"Objetivo alcanzado","En camino")</f>
        <v/>
      </c>
    </row>
    <row r="30">
      <c r="B30" s="29" t="n">
        <v>14</v>
      </c>
      <c r="C30" s="37">
        <f>EDATE(Datos!$C$40,B30)</f>
        <v/>
      </c>
      <c r="D30" s="12">
        <f>$D$8</f>
        <v/>
      </c>
      <c r="E30" s="18" t="n"/>
      <c r="F30" s="33">
        <f>F29*(1+$D$9/12)+D30+N(E30)</f>
        <v/>
      </c>
      <c r="G30" s="12">
        <f>$D$6</f>
        <v/>
      </c>
      <c r="H30" s="32">
        <f>IF(G30&gt;0,F30/G30,0)</f>
        <v/>
      </c>
      <c r="I30" s="15">
        <f>IF(F30&gt;=G30,"Objetivo alcanzado","En camino")</f>
        <v/>
      </c>
    </row>
    <row r="31">
      <c r="B31" s="29" t="n">
        <v>15</v>
      </c>
      <c r="C31" s="37">
        <f>EDATE(Datos!$C$40,B31)</f>
        <v/>
      </c>
      <c r="D31" s="12">
        <f>$D$8</f>
        <v/>
      </c>
      <c r="E31" s="18" t="n"/>
      <c r="F31" s="33">
        <f>F30*(1+$D$9/12)+D31+N(E31)</f>
        <v/>
      </c>
      <c r="G31" s="12">
        <f>$D$6</f>
        <v/>
      </c>
      <c r="H31" s="32">
        <f>IF(G31&gt;0,F31/G31,0)</f>
        <v/>
      </c>
      <c r="I31" s="15">
        <f>IF(F31&gt;=G31,"Objetivo alcanzado","En camino")</f>
        <v/>
      </c>
    </row>
    <row r="32">
      <c r="B32" s="29" t="n">
        <v>16</v>
      </c>
      <c r="C32" s="37">
        <f>EDATE(Datos!$C$40,B32)</f>
        <v/>
      </c>
      <c r="D32" s="12">
        <f>$D$8</f>
        <v/>
      </c>
      <c r="E32" s="18" t="n"/>
      <c r="F32" s="33">
        <f>F31*(1+$D$9/12)+D32+N(E32)</f>
        <v/>
      </c>
      <c r="G32" s="12">
        <f>$D$6</f>
        <v/>
      </c>
      <c r="H32" s="32">
        <f>IF(G32&gt;0,F32/G32,0)</f>
        <v/>
      </c>
      <c r="I32" s="15">
        <f>IF(F32&gt;=G32,"Objetivo alcanzado","En camino")</f>
        <v/>
      </c>
    </row>
    <row r="33">
      <c r="B33" s="29" t="n">
        <v>17</v>
      </c>
      <c r="C33" s="37">
        <f>EDATE(Datos!$C$40,B33)</f>
        <v/>
      </c>
      <c r="D33" s="12">
        <f>$D$8</f>
        <v/>
      </c>
      <c r="E33" s="18" t="n"/>
      <c r="F33" s="33">
        <f>F32*(1+$D$9/12)+D33+N(E33)</f>
        <v/>
      </c>
      <c r="G33" s="12">
        <f>$D$6</f>
        <v/>
      </c>
      <c r="H33" s="32">
        <f>IF(G33&gt;0,F33/G33,0)</f>
        <v/>
      </c>
      <c r="I33" s="15">
        <f>IF(F33&gt;=G33,"Objetivo alcanzado","En camino")</f>
        <v/>
      </c>
    </row>
    <row r="34">
      <c r="B34" s="29" t="n">
        <v>18</v>
      </c>
      <c r="C34" s="37">
        <f>EDATE(Datos!$C$40,B34)</f>
        <v/>
      </c>
      <c r="D34" s="12">
        <f>$D$8</f>
        <v/>
      </c>
      <c r="E34" s="18" t="n"/>
      <c r="F34" s="33">
        <f>F33*(1+$D$9/12)+D34+N(E34)</f>
        <v/>
      </c>
      <c r="G34" s="12">
        <f>$D$6</f>
        <v/>
      </c>
      <c r="H34" s="32">
        <f>IF(G34&gt;0,F34/G34,0)</f>
        <v/>
      </c>
      <c r="I34" s="15">
        <f>IF(F34&gt;=G34,"Objetivo alcanzado","En camino")</f>
        <v/>
      </c>
    </row>
    <row r="35">
      <c r="B35" s="29" t="n">
        <v>19</v>
      </c>
      <c r="C35" s="37">
        <f>EDATE(Datos!$C$40,B35)</f>
        <v/>
      </c>
      <c r="D35" s="12">
        <f>$D$8</f>
        <v/>
      </c>
      <c r="E35" s="18" t="n"/>
      <c r="F35" s="33">
        <f>F34*(1+$D$9/12)+D35+N(E35)</f>
        <v/>
      </c>
      <c r="G35" s="12">
        <f>$D$6</f>
        <v/>
      </c>
      <c r="H35" s="32">
        <f>IF(G35&gt;0,F35/G35,0)</f>
        <v/>
      </c>
      <c r="I35" s="15">
        <f>IF(F35&gt;=G35,"Objetivo alcanzado","En camino")</f>
        <v/>
      </c>
    </row>
    <row r="36">
      <c r="B36" s="29" t="n">
        <v>20</v>
      </c>
      <c r="C36" s="37">
        <f>EDATE(Datos!$C$40,B36)</f>
        <v/>
      </c>
      <c r="D36" s="12">
        <f>$D$8</f>
        <v/>
      </c>
      <c r="E36" s="18" t="n"/>
      <c r="F36" s="33">
        <f>F35*(1+$D$9/12)+D36+N(E36)</f>
        <v/>
      </c>
      <c r="G36" s="12">
        <f>$D$6</f>
        <v/>
      </c>
      <c r="H36" s="32">
        <f>IF(G36&gt;0,F36/G36,0)</f>
        <v/>
      </c>
      <c r="I36" s="15">
        <f>IF(F36&gt;=G36,"Objetivo alcanzado","En camino")</f>
        <v/>
      </c>
    </row>
    <row r="37">
      <c r="B37" s="29" t="n">
        <v>21</v>
      </c>
      <c r="C37" s="37">
        <f>EDATE(Datos!$C$40,B37)</f>
        <v/>
      </c>
      <c r="D37" s="12">
        <f>$D$8</f>
        <v/>
      </c>
      <c r="E37" s="18" t="n"/>
      <c r="F37" s="33">
        <f>F36*(1+$D$9/12)+D37+N(E37)</f>
        <v/>
      </c>
      <c r="G37" s="12">
        <f>$D$6</f>
        <v/>
      </c>
      <c r="H37" s="32">
        <f>IF(G37&gt;0,F37/G37,0)</f>
        <v/>
      </c>
      <c r="I37" s="15">
        <f>IF(F37&gt;=G37,"Objetivo alcanzado","En camino")</f>
        <v/>
      </c>
    </row>
    <row r="38">
      <c r="B38" s="29" t="n">
        <v>22</v>
      </c>
      <c r="C38" s="37">
        <f>EDATE(Datos!$C$40,B38)</f>
        <v/>
      </c>
      <c r="D38" s="12">
        <f>$D$8</f>
        <v/>
      </c>
      <c r="E38" s="18" t="n"/>
      <c r="F38" s="33">
        <f>F37*(1+$D$9/12)+D38+N(E38)</f>
        <v/>
      </c>
      <c r="G38" s="12">
        <f>$D$6</f>
        <v/>
      </c>
      <c r="H38" s="32">
        <f>IF(G38&gt;0,F38/G38,0)</f>
        <v/>
      </c>
      <c r="I38" s="15">
        <f>IF(F38&gt;=G38,"Objetivo alcanzado","En camino")</f>
        <v/>
      </c>
    </row>
    <row r="39">
      <c r="B39" s="29" t="n">
        <v>23</v>
      </c>
      <c r="C39" s="37">
        <f>EDATE(Datos!$C$40,B39)</f>
        <v/>
      </c>
      <c r="D39" s="12">
        <f>$D$8</f>
        <v/>
      </c>
      <c r="E39" s="18" t="n"/>
      <c r="F39" s="33">
        <f>F38*(1+$D$9/12)+D39+N(E39)</f>
        <v/>
      </c>
      <c r="G39" s="12">
        <f>$D$6</f>
        <v/>
      </c>
      <c r="H39" s="32">
        <f>IF(G39&gt;0,F39/G39,0)</f>
        <v/>
      </c>
      <c r="I39" s="15">
        <f>IF(F39&gt;=G39,"Objetivo alcanzado","En camino")</f>
        <v/>
      </c>
    </row>
    <row r="40">
      <c r="B40" s="29" t="n">
        <v>24</v>
      </c>
      <c r="C40" s="37">
        <f>EDATE(Datos!$C$40,B40)</f>
        <v/>
      </c>
      <c r="D40" s="12">
        <f>$D$8</f>
        <v/>
      </c>
      <c r="E40" s="18" t="n"/>
      <c r="F40" s="33">
        <f>F39*(1+$D$9/12)+D40+N(E40)</f>
        <v/>
      </c>
      <c r="G40" s="12">
        <f>$D$6</f>
        <v/>
      </c>
      <c r="H40" s="32">
        <f>IF(G40&gt;0,F40/G40,0)</f>
        <v/>
      </c>
      <c r="I40" s="15">
        <f>IF(F40&gt;=G40,"Objetivo alcanzado","En camino")</f>
        <v/>
      </c>
    </row>
    <row r="41">
      <c r="B41" s="29" t="n">
        <v>25</v>
      </c>
      <c r="C41" s="37">
        <f>EDATE(Datos!$C$40,B41)</f>
        <v/>
      </c>
      <c r="D41" s="12">
        <f>$D$8</f>
        <v/>
      </c>
      <c r="E41" s="18" t="n"/>
      <c r="F41" s="33">
        <f>F40*(1+$D$9/12)+D41+N(E41)</f>
        <v/>
      </c>
      <c r="G41" s="12">
        <f>$D$6</f>
        <v/>
      </c>
      <c r="H41" s="32">
        <f>IF(G41&gt;0,F41/G41,0)</f>
        <v/>
      </c>
      <c r="I41" s="15">
        <f>IF(F41&gt;=G41,"Objetivo alcanzado","En camino")</f>
        <v/>
      </c>
    </row>
    <row r="42">
      <c r="B42" s="29" t="n">
        <v>26</v>
      </c>
      <c r="C42" s="37">
        <f>EDATE(Datos!$C$40,B42)</f>
        <v/>
      </c>
      <c r="D42" s="12">
        <f>$D$8</f>
        <v/>
      </c>
      <c r="E42" s="18" t="n"/>
      <c r="F42" s="33">
        <f>F41*(1+$D$9/12)+D42+N(E42)</f>
        <v/>
      </c>
      <c r="G42" s="12">
        <f>$D$6</f>
        <v/>
      </c>
      <c r="H42" s="32">
        <f>IF(G42&gt;0,F42/G42,0)</f>
        <v/>
      </c>
      <c r="I42" s="15">
        <f>IF(F42&gt;=G42,"Objetivo alcanzado","En camino")</f>
        <v/>
      </c>
    </row>
    <row r="43">
      <c r="B43" s="29" t="n">
        <v>27</v>
      </c>
      <c r="C43" s="37">
        <f>EDATE(Datos!$C$40,B43)</f>
        <v/>
      </c>
      <c r="D43" s="12">
        <f>$D$8</f>
        <v/>
      </c>
      <c r="E43" s="18" t="n"/>
      <c r="F43" s="33">
        <f>F42*(1+$D$9/12)+D43+N(E43)</f>
        <v/>
      </c>
      <c r="G43" s="12">
        <f>$D$6</f>
        <v/>
      </c>
      <c r="H43" s="32">
        <f>IF(G43&gt;0,F43/G43,0)</f>
        <v/>
      </c>
      <c r="I43" s="15">
        <f>IF(F43&gt;=G43,"Objetivo alcanzado","En camino")</f>
        <v/>
      </c>
    </row>
    <row r="44">
      <c r="B44" s="29" t="n">
        <v>28</v>
      </c>
      <c r="C44" s="37">
        <f>EDATE(Datos!$C$40,B44)</f>
        <v/>
      </c>
      <c r="D44" s="12">
        <f>$D$8</f>
        <v/>
      </c>
      <c r="E44" s="18" t="n"/>
      <c r="F44" s="33">
        <f>F43*(1+$D$9/12)+D44+N(E44)</f>
        <v/>
      </c>
      <c r="G44" s="12">
        <f>$D$6</f>
        <v/>
      </c>
      <c r="H44" s="32">
        <f>IF(G44&gt;0,F44/G44,0)</f>
        <v/>
      </c>
      <c r="I44" s="15">
        <f>IF(F44&gt;=G44,"Objetivo alcanzado","En camino")</f>
        <v/>
      </c>
    </row>
    <row r="45">
      <c r="B45" s="29" t="n">
        <v>29</v>
      </c>
      <c r="C45" s="37">
        <f>EDATE(Datos!$C$40,B45)</f>
        <v/>
      </c>
      <c r="D45" s="12">
        <f>$D$8</f>
        <v/>
      </c>
      <c r="E45" s="18" t="n"/>
      <c r="F45" s="33">
        <f>F44*(1+$D$9/12)+D45+N(E45)</f>
        <v/>
      </c>
      <c r="G45" s="12">
        <f>$D$6</f>
        <v/>
      </c>
      <c r="H45" s="32">
        <f>IF(G45&gt;0,F45/G45,0)</f>
        <v/>
      </c>
      <c r="I45" s="15">
        <f>IF(F45&gt;=G45,"Objetivo alcanzado","En camino")</f>
        <v/>
      </c>
    </row>
    <row r="46">
      <c r="B46" s="29" t="n">
        <v>30</v>
      </c>
      <c r="C46" s="37">
        <f>EDATE(Datos!$C$40,B46)</f>
        <v/>
      </c>
      <c r="D46" s="12">
        <f>$D$8</f>
        <v/>
      </c>
      <c r="E46" s="18" t="n"/>
      <c r="F46" s="33">
        <f>F45*(1+$D$9/12)+D46+N(E46)</f>
        <v/>
      </c>
      <c r="G46" s="12">
        <f>$D$6</f>
        <v/>
      </c>
      <c r="H46" s="32">
        <f>IF(G46&gt;0,F46/G46,0)</f>
        <v/>
      </c>
      <c r="I46" s="15">
        <f>IF(F46&gt;=G46,"Objetivo alcanzado","En camino")</f>
        <v/>
      </c>
    </row>
    <row r="47">
      <c r="B47" s="29" t="n">
        <v>31</v>
      </c>
      <c r="C47" s="37">
        <f>EDATE(Datos!$C$40,B47)</f>
        <v/>
      </c>
      <c r="D47" s="12">
        <f>$D$8</f>
        <v/>
      </c>
      <c r="E47" s="18" t="n"/>
      <c r="F47" s="33">
        <f>F46*(1+$D$9/12)+D47+N(E47)</f>
        <v/>
      </c>
      <c r="G47" s="12">
        <f>$D$6</f>
        <v/>
      </c>
      <c r="H47" s="32">
        <f>IF(G47&gt;0,F47/G47,0)</f>
        <v/>
      </c>
      <c r="I47" s="15">
        <f>IF(F47&gt;=G47,"Objetivo alcanzado","En camino")</f>
        <v/>
      </c>
    </row>
    <row r="48">
      <c r="B48" s="29" t="n">
        <v>32</v>
      </c>
      <c r="C48" s="37">
        <f>EDATE(Datos!$C$40,B48)</f>
        <v/>
      </c>
      <c r="D48" s="12">
        <f>$D$8</f>
        <v/>
      </c>
      <c r="E48" s="18" t="n"/>
      <c r="F48" s="33">
        <f>F47*(1+$D$9/12)+D48+N(E48)</f>
        <v/>
      </c>
      <c r="G48" s="12">
        <f>$D$6</f>
        <v/>
      </c>
      <c r="H48" s="32">
        <f>IF(G48&gt;0,F48/G48,0)</f>
        <v/>
      </c>
      <c r="I48" s="15">
        <f>IF(F48&gt;=G48,"Objetivo alcanzado","En camino")</f>
        <v/>
      </c>
    </row>
    <row r="49">
      <c r="B49" s="29" t="n">
        <v>33</v>
      </c>
      <c r="C49" s="37">
        <f>EDATE(Datos!$C$40,B49)</f>
        <v/>
      </c>
      <c r="D49" s="12">
        <f>$D$8</f>
        <v/>
      </c>
      <c r="E49" s="18" t="n"/>
      <c r="F49" s="33">
        <f>F48*(1+$D$9/12)+D49+N(E49)</f>
        <v/>
      </c>
      <c r="G49" s="12">
        <f>$D$6</f>
        <v/>
      </c>
      <c r="H49" s="32">
        <f>IF(G49&gt;0,F49/G49,0)</f>
        <v/>
      </c>
      <c r="I49" s="15">
        <f>IF(F49&gt;=G49,"Objetivo alcanzado","En camino")</f>
        <v/>
      </c>
    </row>
    <row r="50">
      <c r="B50" s="29" t="n">
        <v>34</v>
      </c>
      <c r="C50" s="37">
        <f>EDATE(Datos!$C$40,B50)</f>
        <v/>
      </c>
      <c r="D50" s="12">
        <f>$D$8</f>
        <v/>
      </c>
      <c r="E50" s="18" t="n"/>
      <c r="F50" s="33">
        <f>F49*(1+$D$9/12)+D50+N(E50)</f>
        <v/>
      </c>
      <c r="G50" s="12">
        <f>$D$6</f>
        <v/>
      </c>
      <c r="H50" s="32">
        <f>IF(G50&gt;0,F50/G50,0)</f>
        <v/>
      </c>
      <c r="I50" s="15">
        <f>IF(F50&gt;=G50,"Objetivo alcanzado","En camino")</f>
        <v/>
      </c>
    </row>
    <row r="51">
      <c r="B51" s="29" t="n">
        <v>35</v>
      </c>
      <c r="C51" s="37">
        <f>EDATE(Datos!$C$40,B51)</f>
        <v/>
      </c>
      <c r="D51" s="12">
        <f>$D$8</f>
        <v/>
      </c>
      <c r="E51" s="18" t="n"/>
      <c r="F51" s="33">
        <f>F50*(1+$D$9/12)+D51+N(E51)</f>
        <v/>
      </c>
      <c r="G51" s="12">
        <f>$D$6</f>
        <v/>
      </c>
      <c r="H51" s="32">
        <f>IF(G51&gt;0,F51/G51,0)</f>
        <v/>
      </c>
      <c r="I51" s="15">
        <f>IF(F51&gt;=G51,"Objetivo alcanzado","En camino")</f>
        <v/>
      </c>
    </row>
    <row r="52">
      <c r="B52" s="29" t="n">
        <v>36</v>
      </c>
      <c r="C52" s="37">
        <f>EDATE(Datos!$C$40,B52)</f>
        <v/>
      </c>
      <c r="D52" s="12">
        <f>$D$8</f>
        <v/>
      </c>
      <c r="E52" s="18" t="n"/>
      <c r="F52" s="33">
        <f>F51*(1+$D$9/12)+D52+N(E52)</f>
        <v/>
      </c>
      <c r="G52" s="12">
        <f>$D$6</f>
        <v/>
      </c>
      <c r="H52" s="32">
        <f>IF(G52&gt;0,F52/G52,0)</f>
        <v/>
      </c>
      <c r="I52" s="15">
        <f>IF(F52&gt;=G52,"Objetivo alcanzado","En camino")</f>
        <v/>
      </c>
    </row>
    <row r="53">
      <c r="B53" s="29" t="n">
        <v>37</v>
      </c>
      <c r="C53" s="37">
        <f>EDATE(Datos!$C$40,B53)</f>
        <v/>
      </c>
      <c r="D53" s="12">
        <f>$D$8</f>
        <v/>
      </c>
      <c r="E53" s="18" t="n"/>
      <c r="F53" s="33">
        <f>F52*(1+$D$9/12)+D53+N(E53)</f>
        <v/>
      </c>
      <c r="G53" s="12">
        <f>$D$6</f>
        <v/>
      </c>
      <c r="H53" s="32">
        <f>IF(G53&gt;0,F53/G53,0)</f>
        <v/>
      </c>
      <c r="I53" s="15">
        <f>IF(F53&gt;=G53,"Objetivo alcanzado","En camino")</f>
        <v/>
      </c>
    </row>
    <row r="54">
      <c r="B54" s="29" t="n">
        <v>38</v>
      </c>
      <c r="C54" s="37">
        <f>EDATE(Datos!$C$40,B54)</f>
        <v/>
      </c>
      <c r="D54" s="12">
        <f>$D$8</f>
        <v/>
      </c>
      <c r="E54" s="18" t="n"/>
      <c r="F54" s="33">
        <f>F53*(1+$D$9/12)+D54+N(E54)</f>
        <v/>
      </c>
      <c r="G54" s="12">
        <f>$D$6</f>
        <v/>
      </c>
      <c r="H54" s="32">
        <f>IF(G54&gt;0,F54/G54,0)</f>
        <v/>
      </c>
      <c r="I54" s="15">
        <f>IF(F54&gt;=G54,"Objetivo alcanzado","En camino")</f>
        <v/>
      </c>
    </row>
    <row r="55">
      <c r="B55" s="29" t="n">
        <v>39</v>
      </c>
      <c r="C55" s="37">
        <f>EDATE(Datos!$C$40,B55)</f>
        <v/>
      </c>
      <c r="D55" s="12">
        <f>$D$8</f>
        <v/>
      </c>
      <c r="E55" s="18" t="n"/>
      <c r="F55" s="33">
        <f>F54*(1+$D$9/12)+D55+N(E55)</f>
        <v/>
      </c>
      <c r="G55" s="12">
        <f>$D$6</f>
        <v/>
      </c>
      <c r="H55" s="32">
        <f>IF(G55&gt;0,F55/G55,0)</f>
        <v/>
      </c>
      <c r="I55" s="15">
        <f>IF(F55&gt;=G55,"Objetivo alcanzado","En camino")</f>
        <v/>
      </c>
    </row>
    <row r="56">
      <c r="B56" s="29" t="n">
        <v>40</v>
      </c>
      <c r="C56" s="37">
        <f>EDATE(Datos!$C$40,B56)</f>
        <v/>
      </c>
      <c r="D56" s="12">
        <f>$D$8</f>
        <v/>
      </c>
      <c r="E56" s="18" t="n"/>
      <c r="F56" s="33">
        <f>F55*(1+$D$9/12)+D56+N(E56)</f>
        <v/>
      </c>
      <c r="G56" s="12">
        <f>$D$6</f>
        <v/>
      </c>
      <c r="H56" s="32">
        <f>IF(G56&gt;0,F56/G56,0)</f>
        <v/>
      </c>
      <c r="I56" s="15">
        <f>IF(F56&gt;=G56,"Objetivo alcanzado","En camino")</f>
        <v/>
      </c>
    </row>
    <row r="57">
      <c r="B57" s="8" t="inlineStr">
        <is>
          <t>Cada mes capitaliza la rentabilidad anual / 12 y suma la aportación y el ingreso extra. Las pagas extra de la columna E no entran en el «ahorro mensual necesario».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2">
    <mergeCell ref="D10:E10"/>
    <mergeCell ref="B7:C7"/>
    <mergeCell ref="B3:I3"/>
    <mergeCell ref="B12:C12"/>
    <mergeCell ref="D6:E6"/>
    <mergeCell ref="B11:C11"/>
    <mergeCell ref="D11:E11"/>
    <mergeCell ref="B2:I2"/>
    <mergeCell ref="D13:E13"/>
    <mergeCell ref="B14:C14"/>
    <mergeCell ref="B8:C8"/>
    <mergeCell ref="B13:C13"/>
    <mergeCell ref="D7:E7"/>
    <mergeCell ref="B10:C10"/>
    <mergeCell ref="B9:C9"/>
    <mergeCell ref="D9:E9"/>
    <mergeCell ref="D12:E12"/>
    <mergeCell ref="D8:E8"/>
    <mergeCell ref="B6:C6"/>
    <mergeCell ref="B5:C5"/>
    <mergeCell ref="D5:E5"/>
    <mergeCell ref="D14:E14"/>
  </mergeCells>
  <conditionalFormatting sqref="D14">
    <cfRule type="expression" priority="1" dxfId="2">
      <formula>AND(ISNUMBER(D14),D14&gt;=0)</formula>
    </cfRule>
    <cfRule type="expression" priority="2" dxfId="0">
      <formula>AND(ISNUMBER(D14),D14&lt;0)</formula>
    </cfRule>
  </conditionalFormatting>
  <conditionalFormatting sqref="B17:I56">
    <cfRule type="expression" priority="3" dxfId="1">
      <formula>MOD(ROW(),2)=0</formula>
    </cfRule>
  </conditionalFormatting>
  <conditionalFormatting sqref="H17:H56">
    <cfRule type="dataBar" priority="4">
      <dataBar>
        <cfvo type="num" val="0"/>
        <cfvo type="max"/>
        <color rgb="0034D399"/>
      </dataBar>
    </cfRule>
  </conditionalFormatting>
  <conditionalFormatting sqref="I17:I56">
    <cfRule type="cellIs" priority="5" operator="equal" dxfId="2">
      <formula>"Objetivo alcanzado"</formula>
    </cfRule>
    <cfRule type="cellIs" priority="6" operator="equal" dxfId="3">
      <formula>"En camino"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planificador de compra de vivienda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8" t="inlineStr">
        <is>
          <t>1.  Hoja «Datos», filas 6 a 13: rellena las dos ofertas (columnas C y D): nombre, precio, tipo de vivienda, % a financiar, tipo de interés, plazo en años, comunidad e IBI.</t>
        </is>
      </c>
    </row>
    <row r="7" ht="30" customHeight="1">
      <c r="B7" s="38" t="inlineStr">
        <is>
          <t>2.  Hoja «Datos», filas 17 a 24: apunta otros gastos iniciales (reforma, mudanza, mobiliario…) para cada oferta. Borra los ejemplos y usa las filas libres.</t>
        </is>
      </c>
    </row>
    <row r="8" ht="30" customHeight="1">
      <c r="B8" s="38" t="inlineStr">
        <is>
          <t>3.  Hoja «Datos», filas 29 a 35: ajusta ITP, IVA, AJD, notaría, registro, gestoría y tasación. Son parámetros de ejemplo, no cifras oficiales: compruébalos para tu caso.</t>
        </is>
      </c>
    </row>
    <row r="9" ht="30" customHeight="1">
      <c r="B9" s="38" t="inlineStr">
        <is>
          <t>4.  Hoja «Datos», filas 36 a 43: escribe ingresos netos mensuales, ahorro actual, ahorro mensual previsto, rentabilidad, fecha de hoy (C40), fecha objetivo (C41), ratio máximo (C42) y la oferta de referencia (C43).</t>
        </is>
      </c>
    </row>
    <row r="10" ht="30" customHeight="1">
      <c r="B10" s="38" t="inlineStr">
        <is>
          <t>5.  Hoja «Datos», filas 47 a 65: se calculan solos impuestos, gastos, entrada, efectivo necesario, cuota, intereses, ratios y ahorro mensual necesario.</t>
        </is>
      </c>
    </row>
    <row r="11" ht="30" customHeight="1">
      <c r="B11" s="38" t="inlineStr">
        <is>
          <t>6.  Hoja «Hipoteca»: elige la oferta en C5, cambia las variaciones de tipo (C14:G14) y los plazos (B17:B21) y mira el cuadro de amortización anual.</t>
        </is>
      </c>
    </row>
    <row r="12" ht="30" customHeight="1">
      <c r="B12" s="38" t="inlineStr">
        <is>
          <t>7.  Hoja «Ahorro»: revisa la proyección mes a mes (40 meses) y añade pagas extra en la columna E (celdas crema).</t>
        </is>
      </c>
    </row>
    <row r="13" ht="30" customHeight="1">
      <c r="B13" s="38" t="inlineStr">
        <is>
          <t>8.  Hoja «Panel»: consulta los 8 indicadores de la oferta de referencia, la comparación A frente a B y el gráfico de costes.</t>
        </is>
      </c>
    </row>
    <row r="15">
      <c r="B15" s="9" t="inlineStr">
        <is>
          <t>CONSEJOS</t>
        </is>
      </c>
    </row>
    <row r="16" ht="30" customHeight="1">
      <c r="B16" s="38" t="inlineStr">
        <is>
          <t>•  Todos los datos son un ejemplo ficticio: sustitúyelos por tus cifras reales y las de las ofertas que tengas.</t>
        </is>
      </c>
    </row>
    <row r="17" ht="30" customHeight="1">
      <c r="B17" s="38" t="inlineStr">
        <is>
          <t>•  El plazo debe ser un número entero de 1 a 40 años; la hoja Ahorro proyecta como máximo 40 meses.</t>
        </is>
      </c>
    </row>
    <row r="18" ht="18" customHeight="1">
      <c r="B18" s="38" t="inlineStr">
        <is>
          <t>•  Las celdas con fondo crema y texto azul son editables; el resto está protegido sin contraseña.</t>
        </is>
      </c>
    </row>
    <row r="19" ht="30" customHeight="1">
      <c r="B19" s="38" t="inlineStr">
        <is>
          <t>•  El cálculo no incluye comisiones, bonificaciones, productos vinculados, variaciones de tipo ni amortizaciones anticipadas.</t>
        </is>
      </c>
    </row>
    <row r="21">
      <c r="B21" s="39" t="inlineStr">
        <is>
          <t>Las celdas con fondo crema y texto azul son para rellenar; las verdes se calculan solas.</t>
        </is>
      </c>
    </row>
    <row r="23" ht="44" customHeight="1">
      <c r="B23" s="40" t="inlineStr">
        <is>
          <t>Aviso: herramienta educativa de simulación. Impuestos, gastos y tipos son parámetros editables y no cifras oficiales. No constituye asesoramiento financiero, hipotecario ni fiscal: consulta con un profesional antes de decidir.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Tipo de vivienda</t>
        </is>
      </c>
      <c r="B1" t="inlineStr">
        <is>
          <t>Oferta</t>
        </is>
      </c>
    </row>
    <row r="2">
      <c r="A2" t="inlineStr">
        <is>
          <t>Segunda mano</t>
        </is>
      </c>
      <c r="B2" t="inlineStr">
        <is>
          <t>A</t>
        </is>
      </c>
    </row>
    <row r="3">
      <c r="A3" t="inlineStr">
        <is>
          <t>Obra nueva</t>
        </is>
      </c>
      <c r="B3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2026-10-06T12:09:49Z</dcterms:created>
  <dcterms:modified xmlns:dcterms="http://purl.org/dc/terms/" xmlns:xsi="http://www.w3.org/2001/XMLSchema-instance" xsi:type="dcterms:W3CDTF">2026-10-06T12:09:49Z</dcterms:modified>
</cp:coreProperties>
</file>