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mpras" sheetId="2" state="visible" r:id="rId2"/>
    <sheet xmlns:r="http://schemas.openxmlformats.org/officeDocument/2006/relationships" name="Invitados" sheetId="3" state="visible" r:id="rId3"/>
    <sheet xmlns:r="http://schemas.openxmlformats.org/officeDocument/2006/relationships" name="Cronograma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>
    <definedName name="_xlnm._FilterDatabase" localSheetId="1" hidden="1">'Compras'!$B$7:$M$47</definedName>
    <definedName name="_xlnm._FilterDatabase" localSheetId="2" hidden="1">'Invitados'!$B$7:$O$37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,##0.00 &quot;€&quot;"/>
    <numFmt numFmtId="165" formatCode="#,##0.00#"/>
    <numFmt numFmtId="166" formatCode="#,##0.0##"/>
    <numFmt numFmtId="167" formatCode="dddd dd/mm/yyyy"/>
    <numFmt numFmtId="168" formatCode="[h]:mm"/>
    <numFmt numFmtId="169" formatCode="yyyy-mm-dd"/>
    <numFmt numFmtId="170" formatCode="dd/mm/yyyy"/>
    <numFmt numFmtId="171" formatCode="0.0%"/>
    <numFmt numFmtId="172" formatCode="0.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70" fontId="6" fillId="5" borderId="1" applyAlignment="1" applyProtection="1" pivotButton="0" quotePrefix="0" xfId="0">
      <alignment horizontal="center" vertical="center"/>
      <protection locked="0" hidden="0"/>
    </xf>
    <xf numFmtId="0" fontId="10" fillId="0" borderId="0" applyAlignment="1" pivotButton="0" quotePrefix="0" xfId="0">
      <alignment horizontal="right" vertical="center"/>
    </xf>
    <xf numFmtId="3" fontId="8" fillId="0" borderId="1" applyAlignment="1" pivotButton="0" quotePrefix="0" xfId="0">
      <alignment horizontal="center" vertical="center"/>
    </xf>
    <xf numFmtId="164" fontId="6" fillId="5" borderId="1" applyAlignment="1" applyProtection="1" pivotButton="0" quotePrefix="0" xfId="0">
      <alignment vertical="center"/>
      <protection locked="0" hidden="0"/>
    </xf>
    <xf numFmtId="171" fontId="6" fillId="5" borderId="1" applyAlignment="1" applyProtection="1" pivotButton="0" quotePrefix="0" xfId="0">
      <alignment horizontal="center" vertical="center"/>
      <protection locked="0" hidden="0"/>
    </xf>
    <xf numFmtId="164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3" fontId="6" fillId="5" borderId="1" applyAlignment="1" applyProtection="1" pivotButton="0" quotePrefix="0" xfId="0">
      <alignment horizontal="center" vertical="center"/>
      <protection locked="0" hidden="0"/>
    </xf>
    <xf numFmtId="0" fontId="11" fillId="6" borderId="0" applyAlignment="1" pivotButton="0" quotePrefix="0" xfId="0">
      <alignment horizontal="center" vertical="center" wrapText="1"/>
    </xf>
    <xf numFmtId="164" fontId="12" fillId="6" borderId="0" applyAlignment="1" pivotButton="0" quotePrefix="0" xfId="0">
      <alignment horizontal="center" vertical="center"/>
    </xf>
    <xf numFmtId="171" fontId="12" fillId="6" borderId="0" applyAlignment="1" pivotButton="0" quotePrefix="0" xfId="0">
      <alignment horizontal="center" vertical="center"/>
    </xf>
    <xf numFmtId="3" fontId="12" fillId="6" borderId="0" applyAlignment="1" pivotButton="0" quotePrefix="0" xfId="0">
      <alignment horizontal="center" vertical="center"/>
    </xf>
    <xf numFmtId="172" fontId="12" fillId="6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center"/>
    </xf>
    <xf numFmtId="3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vertical="center"/>
    </xf>
    <xf numFmtId="171" fontId="7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3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71" fontId="4" fillId="3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6" fillId="5" borderId="1" applyAlignment="1" applyProtection="1" pivotButton="0" quotePrefix="0" xfId="0">
      <alignment vertical="center"/>
      <protection locked="0" hidden="0"/>
    </xf>
    <xf numFmtId="165" fontId="6" fillId="5" borderId="1" applyAlignment="1" applyProtection="1" pivotButton="0" quotePrefix="0" xfId="0">
      <alignment horizontal="center" vertical="center"/>
      <protection locked="0" hidden="0"/>
    </xf>
    <xf numFmtId="166" fontId="6" fillId="5" borderId="1" applyAlignment="1" applyProtection="1" pivotButton="0" quotePrefix="0" xfId="0">
      <alignment horizontal="center" vertical="center"/>
      <protection locked="0" hidden="0"/>
    </xf>
    <xf numFmtId="0" fontId="6" fillId="5" borderId="1" applyAlignment="1" applyProtection="1" pivotButton="0" quotePrefix="0" xfId="0">
      <alignment horizontal="center" vertical="center"/>
      <protection locked="0" hidden="0"/>
    </xf>
    <xf numFmtId="165" fontId="7" fillId="0" borderId="1" applyAlignment="1" pivotButton="0" quotePrefix="0" xfId="0">
      <alignment horizontal="right" vertical="center"/>
    </xf>
    <xf numFmtId="4" fontId="4" fillId="3" borderId="1" applyAlignment="1" pivotButton="0" quotePrefix="0" xfId="0">
      <alignment vertical="center"/>
    </xf>
    <xf numFmtId="4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7" fontId="8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168" fontId="6" fillId="5" borderId="1" applyAlignment="1" applyProtection="1" pivotButton="0" quotePrefix="0" xfId="0">
      <alignment horizontal="center" vertical="center"/>
      <protection locked="0" hidden="0"/>
    </xf>
    <xf numFmtId="168" fontId="7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4B5563"/>
      </font>
      <fill>
        <patternFill patternType="solid">
          <fgColor rgb="00E5E7EB"/>
          <bgColor rgb="00E5E7EB"/>
        </patternFill>
      </fill>
    </dxf>
    <dxf>
      <font>
        <b val="1"/>
        <color rgb="001D4ED8"/>
      </font>
      <fill>
        <patternFill patternType="solid">
          <fgColor rgb="00DBEAFE"/>
          <bgColor rgb="00DBEA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de la noche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'Resumen'!D18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'Resumen'!$B$19:$B$27</f>
            </numRef>
          </cat>
          <val>
            <numRef>
              <f>'Resumen'!$D$19:$D$27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38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G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5" customWidth="1" min="2" max="2"/>
    <col width="17" customWidth="1" min="3" max="3"/>
    <col width="17" customWidth="1" min="4" max="4"/>
    <col width="19" customWidth="1" min="5" max="5"/>
    <col width="17" customWidth="1" min="6" max="6"/>
    <col width="17" customWidth="1" min="7" max="7"/>
    <col width="3" customWidth="1" min="8" max="8"/>
  </cols>
  <sheetData>
    <row r="2" ht="34" customHeight="1">
      <c r="B2" s="1" t="inlineStr">
        <is>
          <t>Planificador de Nochevieja</t>
        </is>
      </c>
      <c r="C2" s="2" t="n"/>
      <c r="D2" s="2" t="n"/>
      <c r="E2" s="2" t="n"/>
      <c r="F2" s="2" t="n"/>
      <c r="G2" s="2" t="n"/>
    </row>
    <row r="3">
      <c r="B3" s="3" t="inlineStr">
        <is>
          <t>Panel de control: cuánto cuesta la noche, cuánto toca pagar a cada uno y cómo va la preparación.</t>
        </is>
      </c>
    </row>
    <row r="5">
      <c r="B5" s="4" t="inlineStr">
        <is>
          <t>DATOS DE LA NOCHE</t>
        </is>
      </c>
    </row>
    <row r="6">
      <c r="B6" s="5" t="inlineStr">
        <is>
          <t>Fecha de la fiesta</t>
        </is>
      </c>
      <c r="C6" s="6" t="n">
        <v>46387</v>
      </c>
      <c r="E6" s="7" t="inlineStr">
        <is>
          <t>Días que faltan</t>
        </is>
      </c>
      <c r="F6" s="8">
        <f>IF(C6="","",MAX(C6-TODAY(),0))</f>
        <v/>
      </c>
    </row>
    <row r="7">
      <c r="B7" s="5" t="inlineStr">
        <is>
          <t>Presupuesto máximo</t>
        </is>
      </c>
      <c r="C7" s="9" t="n">
        <v>520</v>
      </c>
      <c r="E7" s="7" t="inlineStr">
        <is>
          <t>Personas confirmadas</t>
        </is>
      </c>
      <c r="F7" s="8">
        <f>Invitados!H5</f>
        <v/>
      </c>
    </row>
    <row r="8">
      <c r="B8" s="5" t="inlineStr">
        <is>
          <t>Margen de sobrante</t>
        </is>
      </c>
      <c r="C8" s="10" t="n">
        <v>0.1</v>
      </c>
      <c r="E8" s="7" t="inlineStr">
        <is>
          <t>Presupuesto por persona</t>
        </is>
      </c>
      <c r="F8" s="11">
        <f>IF(F7=0,0,C7/F7)</f>
        <v/>
      </c>
    </row>
    <row r="9">
      <c r="B9" s="5" t="inlineStr">
        <is>
          <t>Cuota de un niño (% adulto)</t>
        </is>
      </c>
      <c r="C9" s="10" t="n">
        <v>0.5</v>
      </c>
      <c r="E9" s="7" t="inlineStr">
        <is>
          <t>Situación</t>
        </is>
      </c>
      <c r="F9" s="12">
        <f>IF(C7=0,"Sin presupuesto",IF(C12&gt;C7,"Por encima del presupuesto",IF(C12&gt;=C7*0.9,"Cerca del límite","Dentro de presupuesto")))</f>
        <v/>
      </c>
    </row>
    <row r="10">
      <c r="B10" s="5" t="inlineStr">
        <is>
          <t>Uvas por persona</t>
        </is>
      </c>
      <c r="C10" s="13" t="n">
        <v>12</v>
      </c>
    </row>
    <row r="11" ht="28" customHeight="1">
      <c r="B11" s="14" t="inlineStr">
        <is>
          <t>COSTE ESTIMADO</t>
        </is>
      </c>
      <c r="C11" s="14" t="inlineStr">
        <is>
          <t>COSTE VIGENTE</t>
        </is>
      </c>
      <c r="D11" s="14" t="inlineStr">
        <is>
          <t>CUOTA POR ADULTO</t>
        </is>
      </c>
      <c r="E11" s="14" t="inlineStr">
        <is>
          <t>DISPONIBLE</t>
        </is>
      </c>
      <c r="F11" s="14" t="inlineStr">
        <is>
          <t>% COMPRADO</t>
        </is>
      </c>
      <c r="G11" s="14" t="inlineStr">
        <is>
          <t>GASTADO (TICKETS)</t>
        </is>
      </c>
    </row>
    <row r="12" ht="30" customHeight="1">
      <c r="B12" s="15">
        <f>Compras!I5</f>
        <v/>
      </c>
      <c r="C12" s="15">
        <f>Compras!M5</f>
        <v/>
      </c>
      <c r="D12" s="15">
        <f>IF(Invitados!I5=0,0,C12/Invitados!I5)</f>
        <v/>
      </c>
      <c r="E12" s="15">
        <f>C7-C12</f>
        <v/>
      </c>
      <c r="F12" s="16">
        <f>IF(COUNTA(Compras!$B$8:$B$47)=0,0,COUNTIF(Compras!$K$8:$K$47,"Sí")/COUNTA(Compras!$B$8:$B$47))</f>
        <v/>
      </c>
      <c r="G12" s="15">
        <f>Compras!L5</f>
        <v/>
      </c>
    </row>
    <row r="14" ht="28" customHeight="1">
      <c r="B14" s="14" t="inlineStr">
        <is>
          <t>PENDIENTES DE CONFIRMAR</t>
        </is>
      </c>
      <c r="C14" s="14" t="inlineStr">
        <is>
          <t>GRANOS DE UVA</t>
        </is>
      </c>
      <c r="D14" s="14" t="inlineStr">
        <is>
          <t>PENDIENTE DE COBRAR</t>
        </is>
      </c>
      <c r="E14" s="14" t="inlineStr">
        <is>
          <t>% PREPARADO (HORARIO)</t>
        </is>
      </c>
      <c r="F14" s="14" t="inlineStr">
        <is>
          <t>SOLAPES EN EL HORARIO</t>
        </is>
      </c>
      <c r="G14" s="14" t="inlineStr">
        <is>
          <t>HORAS DE PROGRAMA</t>
        </is>
      </c>
    </row>
    <row r="15" ht="30" customHeight="1">
      <c r="B15" s="17">
        <f>COUNTIF(Invitados!$C$8:$C$37,"Pendiente")</f>
        <v/>
      </c>
      <c r="C15" s="17">
        <f>C10*F7</f>
        <v/>
      </c>
      <c r="D15" s="15">
        <f>Invitados!N5</f>
        <v/>
      </c>
      <c r="E15" s="16">
        <f>IF(COUNTA(Cronograma!$E$8:$E$37)=0,0,COUNTIF(Cronograma!$G$8:$G$37,"Sí")/COUNTA(Cronograma!$E$8:$E$37))</f>
        <v/>
      </c>
      <c r="F15" s="17">
        <f>COUNTIF(Cronograma!$H$8:$H$37,"Solapa con la siguiente")</f>
        <v/>
      </c>
      <c r="G15" s="18">
        <f>IF(COUNT(Cronograma!$D$8:$D$37)=0,0,ROUND((MAX(Cronograma!$D$8:$D$37)-MIN(Cronograma!$B$8:$B$37))*24,1))</f>
        <v/>
      </c>
    </row>
    <row r="17">
      <c r="B17" s="4" t="inlineStr">
        <is>
          <t>COSTE POR CATEGORÍA</t>
        </is>
      </c>
    </row>
    <row r="18" ht="26" customHeight="1">
      <c r="B18" s="19" t="inlineStr">
        <is>
          <t>Categoría</t>
        </is>
      </c>
      <c r="C18" s="19" t="inlineStr">
        <is>
          <t>Artículos</t>
        </is>
      </c>
      <c r="D18" s="19" t="inlineStr">
        <is>
          <t>Coste vigente</t>
        </is>
      </c>
      <c r="E18" s="19" t="inlineStr">
        <is>
          <t>% del coste</t>
        </is>
      </c>
      <c r="F18" s="19" t="inlineStr">
        <is>
          <t>Por persona</t>
        </is>
      </c>
    </row>
    <row r="19">
      <c r="B19" s="20" t="inlineStr">
        <is>
          <t>Aperitivo</t>
        </is>
      </c>
      <c r="C19" s="21">
        <f>COUNTIF(Compras!$C$8:$C$47,$B19)</f>
        <v/>
      </c>
      <c r="D19" s="22">
        <f>SUMIF(Compras!$C$8:$C$47,$B19,Compras!$M$8:$M$47)</f>
        <v/>
      </c>
      <c r="E19" s="23">
        <f>IF($D$28=0,0,D19/$D$28)</f>
        <v/>
      </c>
      <c r="F19" s="22">
        <f>IF($F$7=0,0,D19/$F$7)</f>
        <v/>
      </c>
    </row>
    <row r="20">
      <c r="B20" s="20" t="inlineStr">
        <is>
          <t>Entrante</t>
        </is>
      </c>
      <c r="C20" s="21">
        <f>COUNTIF(Compras!$C$8:$C$47,$B20)</f>
        <v/>
      </c>
      <c r="D20" s="22">
        <f>SUMIF(Compras!$C$8:$C$47,$B20,Compras!$M$8:$M$47)</f>
        <v/>
      </c>
      <c r="E20" s="23">
        <f>IF($D$28=0,0,D20/$D$28)</f>
        <v/>
      </c>
      <c r="F20" s="22">
        <f>IF($F$7=0,0,D20/$F$7)</f>
        <v/>
      </c>
    </row>
    <row r="21">
      <c r="B21" s="20" t="inlineStr">
        <is>
          <t>Plato principal</t>
        </is>
      </c>
      <c r="C21" s="21">
        <f>COUNTIF(Compras!$C$8:$C$47,$B21)</f>
        <v/>
      </c>
      <c r="D21" s="22">
        <f>SUMIF(Compras!$C$8:$C$47,$B21,Compras!$M$8:$M$47)</f>
        <v/>
      </c>
      <c r="E21" s="23">
        <f>IF($D$28=0,0,D21/$D$28)</f>
        <v/>
      </c>
      <c r="F21" s="22">
        <f>IF($F$7=0,0,D21/$F$7)</f>
        <v/>
      </c>
    </row>
    <row r="22">
      <c r="B22" s="20" t="inlineStr">
        <is>
          <t>Postre</t>
        </is>
      </c>
      <c r="C22" s="21">
        <f>COUNTIF(Compras!$C$8:$C$47,$B22)</f>
        <v/>
      </c>
      <c r="D22" s="22">
        <f>SUMIF(Compras!$C$8:$C$47,$B22,Compras!$M$8:$M$47)</f>
        <v/>
      </c>
      <c r="E22" s="23">
        <f>IF($D$28=0,0,D22/$D$28)</f>
        <v/>
      </c>
      <c r="F22" s="22">
        <f>IF($F$7=0,0,D22/$F$7)</f>
        <v/>
      </c>
    </row>
    <row r="23">
      <c r="B23" s="20" t="inlineStr">
        <is>
          <t>Bebidas</t>
        </is>
      </c>
      <c r="C23" s="21">
        <f>COUNTIF(Compras!$C$8:$C$47,$B23)</f>
        <v/>
      </c>
      <c r="D23" s="22">
        <f>SUMIF(Compras!$C$8:$C$47,$B23,Compras!$M$8:$M$47)</f>
        <v/>
      </c>
      <c r="E23" s="23">
        <f>IF($D$28=0,0,D23/$D$28)</f>
        <v/>
      </c>
      <c r="F23" s="22">
        <f>IF($F$7=0,0,D23/$F$7)</f>
        <v/>
      </c>
    </row>
    <row r="24">
      <c r="B24" s="20" t="inlineStr">
        <is>
          <t>Uvas y cotillón</t>
        </is>
      </c>
      <c r="C24" s="21">
        <f>COUNTIF(Compras!$C$8:$C$47,$B24)</f>
        <v/>
      </c>
      <c r="D24" s="22">
        <f>SUMIF(Compras!$C$8:$C$47,$B24,Compras!$M$8:$M$47)</f>
        <v/>
      </c>
      <c r="E24" s="23">
        <f>IF($D$28=0,0,D24/$D$28)</f>
        <v/>
      </c>
      <c r="F24" s="22">
        <f>IF($F$7=0,0,D24/$F$7)</f>
        <v/>
      </c>
    </row>
    <row r="25">
      <c r="B25" s="20" t="inlineStr">
        <is>
          <t>Decoración</t>
        </is>
      </c>
      <c r="C25" s="21">
        <f>COUNTIF(Compras!$C$8:$C$47,$B25)</f>
        <v/>
      </c>
      <c r="D25" s="22">
        <f>SUMIF(Compras!$C$8:$C$47,$B25,Compras!$M$8:$M$47)</f>
        <v/>
      </c>
      <c r="E25" s="23">
        <f>IF($D$28=0,0,D25/$D$28)</f>
        <v/>
      </c>
      <c r="F25" s="22">
        <f>IF($F$7=0,0,D25/$F$7)</f>
        <v/>
      </c>
    </row>
    <row r="26">
      <c r="B26" s="20" t="inlineStr">
        <is>
          <t>Música y ambiente</t>
        </is>
      </c>
      <c r="C26" s="21">
        <f>COUNTIF(Compras!$C$8:$C$47,$B26)</f>
        <v/>
      </c>
      <c r="D26" s="22">
        <f>SUMIF(Compras!$C$8:$C$47,$B26,Compras!$M$8:$M$47)</f>
        <v/>
      </c>
      <c r="E26" s="23">
        <f>IF($D$28=0,0,D26/$D$28)</f>
        <v/>
      </c>
      <c r="F26" s="22">
        <f>IF($F$7=0,0,D26/$F$7)</f>
        <v/>
      </c>
    </row>
    <row r="27">
      <c r="B27" s="20" t="inlineStr">
        <is>
          <t>Otros</t>
        </is>
      </c>
      <c r="C27" s="21">
        <f>COUNTIF(Compras!$C$8:$C$47,$B27)</f>
        <v/>
      </c>
      <c r="D27" s="22">
        <f>SUMIF(Compras!$C$8:$C$47,$B27,Compras!$M$8:$M$47)</f>
        <v/>
      </c>
      <c r="E27" s="23">
        <f>IF($D$28=0,0,D27/$D$28)</f>
        <v/>
      </c>
      <c r="F27" s="22">
        <f>IF($F$7=0,0,D27/$F$7)</f>
        <v/>
      </c>
    </row>
    <row r="28">
      <c r="B28" s="24" t="inlineStr">
        <is>
          <t>TOTAL</t>
        </is>
      </c>
      <c r="C28" s="25">
        <f>SUM(C19:C27)</f>
        <v/>
      </c>
      <c r="D28" s="26">
        <f>SUM(D19:D27)</f>
        <v/>
      </c>
      <c r="E28" s="27">
        <f>SUM(E19:E27)</f>
        <v/>
      </c>
      <c r="F28" s="26">
        <f>SUM(F19:F27)</f>
        <v/>
      </c>
    </row>
    <row r="29">
      <c r="B29" s="28" t="inlineStr">
        <is>
          <t>Control: artículos sin categoría</t>
        </is>
      </c>
      <c r="D29" s="22">
        <f>ROUND(Compras!M5-D28,2)</f>
        <v/>
      </c>
    </row>
    <row r="31">
      <c r="B31" s="4" t="inlineStr">
        <is>
          <t>ESTADO DE LAS INVITACIONES</t>
        </is>
      </c>
    </row>
    <row r="32" ht="26" customHeight="1">
      <c r="B32" s="19" t="inlineStr">
        <is>
          <t>Respuesta</t>
        </is>
      </c>
      <c r="C32" s="19" t="inlineStr">
        <is>
          <t>Invitaciones</t>
        </is>
      </c>
      <c r="D32" s="19" t="inlineStr">
        <is>
          <t>Personas</t>
        </is>
      </c>
      <c r="E32" s="19" t="inlineStr">
        <is>
          <t>% de invitaciones</t>
        </is>
      </c>
    </row>
    <row r="33">
      <c r="B33" s="20" t="inlineStr">
        <is>
          <t>Sí</t>
        </is>
      </c>
      <c r="C33" s="21">
        <f>COUNTIF(Invitados!$C$8:$C$37,$B33)</f>
        <v/>
      </c>
      <c r="D33" s="21">
        <f>SUMIF(Invitados!$C$8:$C$37,$B33,Invitados!$D$8:$D$37)+SUMIF(Invitados!$C$8:$C$37,$B33,Invitados!$E$8:$E$37)</f>
        <v/>
      </c>
      <c r="E33" s="23">
        <f>IF($C$36=0,0,C33/$C$36)</f>
        <v/>
      </c>
    </row>
    <row r="34">
      <c r="B34" s="20" t="inlineStr">
        <is>
          <t>No</t>
        </is>
      </c>
      <c r="C34" s="21">
        <f>COUNTIF(Invitados!$C$8:$C$37,$B34)</f>
        <v/>
      </c>
      <c r="D34" s="21">
        <f>SUMIF(Invitados!$C$8:$C$37,$B34,Invitados!$D$8:$D$37)+SUMIF(Invitados!$C$8:$C$37,$B34,Invitados!$E$8:$E$37)</f>
        <v/>
      </c>
      <c r="E34" s="23">
        <f>IF($C$36=0,0,C34/$C$36)</f>
        <v/>
      </c>
    </row>
    <row r="35">
      <c r="B35" s="20" t="inlineStr">
        <is>
          <t>Pendiente</t>
        </is>
      </c>
      <c r="C35" s="21">
        <f>COUNTIF(Invitados!$C$8:$C$37,$B35)</f>
        <v/>
      </c>
      <c r="D35" s="21">
        <f>SUMIF(Invitados!$C$8:$C$37,$B35,Invitados!$D$8:$D$37)+SUMIF(Invitados!$C$8:$C$37,$B35,Invitados!$E$8:$E$37)</f>
        <v/>
      </c>
      <c r="E35" s="23">
        <f>IF($C$36=0,0,C35/$C$36)</f>
        <v/>
      </c>
    </row>
    <row r="36">
      <c r="B36" s="24" t="inlineStr">
        <is>
          <t>TOTAL</t>
        </is>
      </c>
      <c r="C36" s="25">
        <f>SUM(C33:C35)</f>
        <v/>
      </c>
      <c r="D36" s="25">
        <f>SUM(D33:D35)</f>
        <v/>
      </c>
      <c r="E36" s="27">
        <f>SUM(E33:E35)</f>
        <v/>
      </c>
    </row>
    <row r="37">
      <c r="B37" s="28" t="inlineStr">
        <is>
          <t>Control: reparto sin pagador asignado</t>
        </is>
      </c>
      <c r="D37" s="22">
        <f>ROUND(Compras!M5-Invitados!K5,2)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G3"/>
    <mergeCell ref="B2:G2"/>
    <mergeCell ref="F9:G9"/>
  </mergeCells>
  <conditionalFormatting sqref="F9">
    <cfRule type="cellIs" priority="1" operator="equal" dxfId="0">
      <formula>"Por encima del presupuesto"</formula>
    </cfRule>
    <cfRule type="cellIs" priority="2" operator="equal" dxfId="1">
      <formula>"Cerca del límite"</formula>
    </cfRule>
    <cfRule type="cellIs" priority="3" operator="equal" dxfId="2">
      <formula>"Dentro de presupuesto"</formula>
    </cfRule>
  </conditionalFormatting>
  <conditionalFormatting sqref="E12">
    <cfRule type="expression" priority="4" dxfId="0">
      <formula>E12&lt;0</formula>
    </cfRule>
  </conditionalFormatting>
  <conditionalFormatting sqref="B15">
    <cfRule type="expression" priority="5" dxfId="1">
      <formula>B15&gt;0</formula>
    </cfRule>
  </conditionalFormatting>
  <conditionalFormatting sqref="D15">
    <cfRule type="expression" priority="6" dxfId="1">
      <formula>D15&gt;0</formula>
    </cfRule>
  </conditionalFormatting>
  <conditionalFormatting sqref="F15">
    <cfRule type="expression" priority="7" dxfId="0">
      <formula>F15&gt;0</formula>
    </cfRule>
  </conditionalFormatting>
  <conditionalFormatting sqref="D29">
    <cfRule type="expression" priority="8" dxfId="0">
      <formula>D29&lt;&gt;0</formula>
    </cfRule>
  </conditionalFormatting>
  <conditionalFormatting sqref="E19:E27">
    <cfRule type="dataBar" priority="9">
      <dataBar>
        <cfvo type="num" val="0"/>
        <cfvo type="max"/>
        <color rgb="0010B981"/>
      </dataBar>
    </cfRule>
  </conditionalFormatting>
  <conditionalFormatting sqref="D37">
    <cfRule type="expression" priority="10" dxfId="0">
      <formula>D37&lt;&gt;0</formula>
    </cfRule>
  </conditionalFormatting>
  <conditionalFormatting sqref="E33:E35">
    <cfRule type="dataBar" priority="11">
      <dataBar>
        <cfvo type="num" val="0"/>
        <cfvo type="max"/>
        <color rgb="00F59E0B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18" customWidth="1" min="3" max="3"/>
    <col width="12" customWidth="1" min="4" max="4"/>
    <col width="11" customWidth="1" min="5" max="5"/>
    <col width="10" customWidth="1" min="6" max="6"/>
    <col width="13" customWidth="1" min="7" max="7"/>
    <col width="13" customWidth="1" min="8" max="8"/>
    <col width="14" customWidth="1" min="9" max="9"/>
    <col width="20" customWidth="1" min="10" max="10"/>
    <col width="11" customWidth="1" min="11" max="11"/>
    <col width="14" customWidth="1" min="12" max="12"/>
    <col width="14" customWidth="1" min="13" max="13"/>
  </cols>
  <sheetData>
    <row r="2" ht="34" customHeight="1">
      <c r="B2" s="1" t="inlineStr">
        <is>
          <t>Menú, bebidas, decoración y compras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artículo: cantidad por persona o cantidad fija, precio y quién lo paga. La cantidad a comprar sale sola.</t>
        </is>
      </c>
    </row>
    <row r="5">
      <c r="B5" s="29" t="inlineStr">
        <is>
          <t>TOTALES</t>
        </is>
      </c>
      <c r="I5" s="26">
        <f>SUM(I8:I47)</f>
        <v/>
      </c>
      <c r="L5" s="26">
        <f>SUM(L8:L47)</f>
        <v/>
      </c>
      <c r="M5" s="26">
        <f>SUM(M8:M47)</f>
        <v/>
      </c>
    </row>
    <row r="7" ht="42" customHeight="1">
      <c r="B7" s="19" t="inlineStr">
        <is>
          <t>Artículo</t>
        </is>
      </c>
      <c r="C7" s="19" t="inlineStr">
        <is>
          <t>Categoría</t>
        </is>
      </c>
      <c r="D7" s="19" t="inlineStr">
        <is>
          <t>Cantidad por persona</t>
        </is>
      </c>
      <c r="E7" s="19" t="inlineStr">
        <is>
          <t>Cantidad fija</t>
        </is>
      </c>
      <c r="F7" s="19" t="inlineStr">
        <is>
          <t>Unidad</t>
        </is>
      </c>
      <c r="G7" s="19" t="inlineStr">
        <is>
          <t>Precio por unidad</t>
        </is>
      </c>
      <c r="H7" s="19" t="inlineStr">
        <is>
          <t>Cantidad a comprar</t>
        </is>
      </c>
      <c r="I7" s="19" t="inlineStr">
        <is>
          <t>Coste estimado</t>
        </is>
      </c>
      <c r="J7" s="19" t="inlineStr">
        <is>
          <t>Pagado por</t>
        </is>
      </c>
      <c r="K7" s="19" t="inlineStr">
        <is>
          <t>Comprado</t>
        </is>
      </c>
      <c r="L7" s="19" t="inlineStr">
        <is>
          <t>Coste real (ticket)</t>
        </is>
      </c>
      <c r="M7" s="19" t="inlineStr">
        <is>
          <t>Coste vigente</t>
        </is>
      </c>
    </row>
    <row r="8">
      <c r="B8" s="30" t="inlineStr">
        <is>
          <t>Jamón ibérico cortado</t>
        </is>
      </c>
      <c r="C8" s="30" t="inlineStr">
        <is>
          <t>Aperitivo</t>
        </is>
      </c>
      <c r="D8" s="31" t="n">
        <v>0.06</v>
      </c>
      <c r="E8" s="32" t="n"/>
      <c r="F8" s="33" t="inlineStr">
        <is>
          <t>kg</t>
        </is>
      </c>
      <c r="G8" s="9" t="n">
        <v>62</v>
      </c>
      <c r="H8" s="34">
        <f>IF(B8="","",IF(OR(F8="ud",F8="botella"),-INT(-IF(N(D8)&gt;0,D8*Resumen!$F$7*(1+Resumen!$C$8),N(E8))),ROUND(IF(N(D8)&gt;0,D8*Resumen!$F$7*(1+Resumen!$C$8),N(E8)),2)))</f>
        <v/>
      </c>
      <c r="I8" s="22">
        <f>IF(B8="","",ROUND(H8*N(G8),2))</f>
        <v/>
      </c>
      <c r="J8" s="30" t="inlineStr">
        <is>
          <t>Lucía (anfitriona)</t>
        </is>
      </c>
      <c r="K8" s="33" t="inlineStr">
        <is>
          <t>Sí</t>
        </is>
      </c>
      <c r="L8" s="9" t="n">
        <v>44.8</v>
      </c>
      <c r="M8" s="22">
        <f>IF(B8="","",IF(L8="",I8,L8))</f>
        <v/>
      </c>
    </row>
    <row r="9">
      <c r="B9" s="30" t="inlineStr">
        <is>
          <t>Queso curado</t>
        </is>
      </c>
      <c r="C9" s="30" t="inlineStr">
        <is>
          <t>Aperitivo</t>
        </is>
      </c>
      <c r="D9" s="31" t="n">
        <v>0.04</v>
      </c>
      <c r="E9" s="32" t="n"/>
      <c r="F9" s="33" t="inlineStr">
        <is>
          <t>kg</t>
        </is>
      </c>
      <c r="G9" s="9" t="n">
        <v>22</v>
      </c>
      <c r="H9" s="34">
        <f>IF(B9="","",IF(OR(F9="ud",F9="botella"),-INT(-IF(N(D9)&gt;0,D9*Resumen!$F$7*(1+Resumen!$C$8),N(E9))),ROUND(IF(N(D9)&gt;0,D9*Resumen!$F$7*(1+Resumen!$C$8),N(E9)),2)))</f>
        <v/>
      </c>
      <c r="I9" s="22">
        <f>IF(B9="","",ROUND(H9*N(G9),2))</f>
        <v/>
      </c>
      <c r="J9" s="30" t="inlineStr">
        <is>
          <t>Lucía (anfitriona)</t>
        </is>
      </c>
      <c r="K9" s="33" t="inlineStr">
        <is>
          <t>Sí</t>
        </is>
      </c>
      <c r="L9" s="9" t="n">
        <v>11.2</v>
      </c>
      <c r="M9" s="22">
        <f>IF(B9="","",IF(L9="",I9,L9))</f>
        <v/>
      </c>
    </row>
    <row r="10">
      <c r="B10" s="30" t="inlineStr">
        <is>
          <t>Patatas fritas y frutos secos</t>
        </is>
      </c>
      <c r="C10" s="30" t="inlineStr">
        <is>
          <t>Aperitivo</t>
        </is>
      </c>
      <c r="D10" s="31" t="n">
        <v>0.05</v>
      </c>
      <c r="E10" s="32" t="n"/>
      <c r="F10" s="33" t="inlineStr">
        <is>
          <t>kg</t>
        </is>
      </c>
      <c r="G10" s="9" t="n">
        <v>9</v>
      </c>
      <c r="H10" s="34">
        <f>IF(B10="","",IF(OR(F10="ud",F10="botella"),-INT(-IF(N(D10)&gt;0,D10*Resumen!$F$7*(1+Resumen!$C$8),N(E10))),ROUND(IF(N(D10)&gt;0,D10*Resumen!$F$7*(1+Resumen!$C$8),N(E10)),2)))</f>
        <v/>
      </c>
      <c r="I10" s="22">
        <f>IF(B10="","",ROUND(H10*N(G10),2))</f>
        <v/>
      </c>
      <c r="J10" s="30" t="inlineStr">
        <is>
          <t>Carmen</t>
        </is>
      </c>
      <c r="K10" s="33" t="inlineStr">
        <is>
          <t>No</t>
        </is>
      </c>
      <c r="L10" s="9" t="n"/>
      <c r="M10" s="22">
        <f>IF(B10="","",IF(L10="",I10,L10))</f>
        <v/>
      </c>
    </row>
    <row r="11">
      <c r="B11" s="30" t="inlineStr">
        <is>
          <t>Langostinos cocidos</t>
        </is>
      </c>
      <c r="C11" s="30" t="inlineStr">
        <is>
          <t>Entrante</t>
        </is>
      </c>
      <c r="D11" s="31" t="n">
        <v>0.15</v>
      </c>
      <c r="E11" s="32" t="n"/>
      <c r="F11" s="33" t="inlineStr">
        <is>
          <t>kg</t>
        </is>
      </c>
      <c r="G11" s="9" t="n">
        <v>21</v>
      </c>
      <c r="H11" s="34">
        <f>IF(B11="","",IF(OR(F11="ud",F11="botella"),-INT(-IF(N(D11)&gt;0,D11*Resumen!$F$7*(1+Resumen!$C$8),N(E11))),ROUND(IF(N(D11)&gt;0,D11*Resumen!$F$7*(1+Resumen!$C$8),N(E11)),2)))</f>
        <v/>
      </c>
      <c r="I11" s="22">
        <f>IF(B11="","",ROUND(H11*N(G11),2))</f>
        <v/>
      </c>
      <c r="J11" s="30" t="inlineStr">
        <is>
          <t>Lucía (anfitriona)</t>
        </is>
      </c>
      <c r="K11" s="33" t="inlineStr">
        <is>
          <t>No</t>
        </is>
      </c>
      <c r="L11" s="9" t="n"/>
      <c r="M11" s="22">
        <f>IF(B11="","",IF(L11="",I11,L11))</f>
        <v/>
      </c>
    </row>
    <row r="12">
      <c r="B12" s="30" t="inlineStr">
        <is>
          <t>Ensaladilla rusa</t>
        </is>
      </c>
      <c r="C12" s="30" t="inlineStr">
        <is>
          <t>Entrante</t>
        </is>
      </c>
      <c r="D12" s="31" t="n">
        <v>0.12</v>
      </c>
      <c r="E12" s="32" t="n"/>
      <c r="F12" s="33" t="inlineStr">
        <is>
          <t>kg</t>
        </is>
      </c>
      <c r="G12" s="9" t="n">
        <v>6.5</v>
      </c>
      <c r="H12" s="34">
        <f>IF(B12="","",IF(OR(F12="ud",F12="botella"),-INT(-IF(N(D12)&gt;0,D12*Resumen!$F$7*(1+Resumen!$C$8),N(E12))),ROUND(IF(N(D12)&gt;0,D12*Resumen!$F$7*(1+Resumen!$C$8),N(E12)),2)))</f>
        <v/>
      </c>
      <c r="I12" s="22">
        <f>IF(B12="","",ROUND(H12*N(G12),2))</f>
        <v/>
      </c>
      <c r="J12" s="30" t="inlineStr">
        <is>
          <t>Elena y Pablo</t>
        </is>
      </c>
      <c r="K12" s="33" t="inlineStr">
        <is>
          <t>No</t>
        </is>
      </c>
      <c r="L12" s="9" t="n"/>
      <c r="M12" s="22">
        <f>IF(B12="","",IF(L12="",I12,L12))</f>
        <v/>
      </c>
    </row>
    <row r="13">
      <c r="B13" s="30" t="inlineStr">
        <is>
          <t>Solomillo de ternera</t>
        </is>
      </c>
      <c r="C13" s="30" t="inlineStr">
        <is>
          <t>Plato principal</t>
        </is>
      </c>
      <c r="D13" s="31" t="n">
        <v>0.22</v>
      </c>
      <c r="E13" s="32" t="n"/>
      <c r="F13" s="33" t="inlineStr">
        <is>
          <t>kg</t>
        </is>
      </c>
      <c r="G13" s="9" t="n">
        <v>26</v>
      </c>
      <c r="H13" s="34">
        <f>IF(B13="","",IF(OR(F13="ud",F13="botella"),-INT(-IF(N(D13)&gt;0,D13*Resumen!$F$7*(1+Resumen!$C$8),N(E13))),ROUND(IF(N(D13)&gt;0,D13*Resumen!$F$7*(1+Resumen!$C$8),N(E13)),2)))</f>
        <v/>
      </c>
      <c r="I13" s="22">
        <f>IF(B13="","",ROUND(H13*N(G13),2))</f>
        <v/>
      </c>
      <c r="J13" s="30" t="inlineStr">
        <is>
          <t>Lucía (anfitriona)</t>
        </is>
      </c>
      <c r="K13" s="33" t="inlineStr">
        <is>
          <t>No</t>
        </is>
      </c>
      <c r="L13" s="9" t="n"/>
      <c r="M13" s="22">
        <f>IF(B13="","",IF(L13="",I13,L13))</f>
        <v/>
      </c>
    </row>
    <row r="14">
      <c r="B14" s="30" t="inlineStr">
        <is>
          <t>Patatas panadera y guarnición</t>
        </is>
      </c>
      <c r="C14" s="30" t="inlineStr">
        <is>
          <t>Plato principal</t>
        </is>
      </c>
      <c r="D14" s="31" t="n">
        <v>0.2</v>
      </c>
      <c r="E14" s="32" t="n"/>
      <c r="F14" s="33" t="inlineStr">
        <is>
          <t>kg</t>
        </is>
      </c>
      <c r="G14" s="9" t="n">
        <v>1.8</v>
      </c>
      <c r="H14" s="34">
        <f>IF(B14="","",IF(OR(F14="ud",F14="botella"),-INT(-IF(N(D14)&gt;0,D14*Resumen!$F$7*(1+Resumen!$C$8),N(E14))),ROUND(IF(N(D14)&gt;0,D14*Resumen!$F$7*(1+Resumen!$C$8),N(E14)),2)))</f>
        <v/>
      </c>
      <c r="I14" s="22">
        <f>IF(B14="","",ROUND(H14*N(G14),2))</f>
        <v/>
      </c>
      <c r="J14" s="30" t="inlineStr">
        <is>
          <t>Lucía (anfitriona)</t>
        </is>
      </c>
      <c r="K14" s="33" t="inlineStr">
        <is>
          <t>No</t>
        </is>
      </c>
      <c r="L14" s="9" t="n"/>
      <c r="M14" s="22">
        <f>IF(B14="","",IF(L14="",I14,L14))</f>
        <v/>
      </c>
    </row>
    <row r="15">
      <c r="B15" s="30" t="inlineStr">
        <is>
          <t>Turrones y polvorones</t>
        </is>
      </c>
      <c r="C15" s="30" t="inlineStr">
        <is>
          <t>Postre</t>
        </is>
      </c>
      <c r="D15" s="31" t="n">
        <v>0.05</v>
      </c>
      <c r="E15" s="32" t="n"/>
      <c r="F15" s="33" t="inlineStr">
        <is>
          <t>kg</t>
        </is>
      </c>
      <c r="G15" s="9" t="n">
        <v>14</v>
      </c>
      <c r="H15" s="34">
        <f>IF(B15="","",IF(OR(F15="ud",F15="botella"),-INT(-IF(N(D15)&gt;0,D15*Resumen!$F$7*(1+Resumen!$C$8),N(E15))),ROUND(IF(N(D15)&gt;0,D15*Resumen!$F$7*(1+Resumen!$C$8),N(E15)),2)))</f>
        <v/>
      </c>
      <c r="I15" s="22">
        <f>IF(B15="","",ROUND(H15*N(G15),2))</f>
        <v/>
      </c>
      <c r="J15" s="30" t="inlineStr">
        <is>
          <t>Carmen</t>
        </is>
      </c>
      <c r="K15" s="33" t="inlineStr">
        <is>
          <t>Sí</t>
        </is>
      </c>
      <c r="L15" s="9" t="n">
        <v>8.9</v>
      </c>
      <c r="M15" s="22">
        <f>IF(B15="","",IF(L15="",I15,L15))</f>
        <v/>
      </c>
    </row>
    <row r="16">
      <c r="B16" s="30" t="inlineStr">
        <is>
          <t>Cava brut (botella 75 cl)</t>
        </is>
      </c>
      <c r="C16" s="30" t="inlineStr">
        <is>
          <t>Bebidas</t>
        </is>
      </c>
      <c r="D16" s="31" t="n">
        <v>0.4</v>
      </c>
      <c r="E16" s="32" t="n"/>
      <c r="F16" s="33" t="inlineStr">
        <is>
          <t>botella</t>
        </is>
      </c>
      <c r="G16" s="9" t="n">
        <v>6.5</v>
      </c>
      <c r="H16" s="34">
        <f>IF(B16="","",IF(OR(F16="ud",F16="botella"),-INT(-IF(N(D16)&gt;0,D16*Resumen!$F$7*(1+Resumen!$C$8),N(E16))),ROUND(IF(N(D16)&gt;0,D16*Resumen!$F$7*(1+Resumen!$C$8),N(E16)),2)))</f>
        <v/>
      </c>
      <c r="I16" s="22">
        <f>IF(B16="","",ROUND(H16*N(G16),2))</f>
        <v/>
      </c>
      <c r="J16" s="30" t="inlineStr">
        <is>
          <t>Marcos</t>
        </is>
      </c>
      <c r="K16" s="33" t="inlineStr">
        <is>
          <t>Sí</t>
        </is>
      </c>
      <c r="L16" s="9" t="n">
        <v>33.8</v>
      </c>
      <c r="M16" s="22">
        <f>IF(B16="","",IF(L16="",I16,L16))</f>
        <v/>
      </c>
    </row>
    <row r="17">
      <c r="B17" s="30" t="inlineStr">
        <is>
          <t>Vino tinto (botella 75 cl)</t>
        </is>
      </c>
      <c r="C17" s="30" t="inlineStr">
        <is>
          <t>Bebidas</t>
        </is>
      </c>
      <c r="D17" s="31" t="n">
        <v>0.25</v>
      </c>
      <c r="E17" s="32" t="n"/>
      <c r="F17" s="33" t="inlineStr">
        <is>
          <t>botella</t>
        </is>
      </c>
      <c r="G17" s="9" t="n">
        <v>7.5</v>
      </c>
      <c r="H17" s="34">
        <f>IF(B17="","",IF(OR(F17="ud",F17="botella"),-INT(-IF(N(D17)&gt;0,D17*Resumen!$F$7*(1+Resumen!$C$8),N(E17))),ROUND(IF(N(D17)&gt;0,D17*Resumen!$F$7*(1+Resumen!$C$8),N(E17)),2)))</f>
        <v/>
      </c>
      <c r="I17" s="22">
        <f>IF(B17="","",ROUND(H17*N(G17),2))</f>
        <v/>
      </c>
      <c r="J17" s="30" t="inlineStr">
        <is>
          <t>Marcos</t>
        </is>
      </c>
      <c r="K17" s="33" t="inlineStr">
        <is>
          <t>Sí</t>
        </is>
      </c>
      <c r="L17" s="9" t="n">
        <v>24</v>
      </c>
      <c r="M17" s="22">
        <f>IF(B17="","",IF(L17="",I17,L17))</f>
        <v/>
      </c>
    </row>
    <row r="18">
      <c r="B18" s="30" t="inlineStr">
        <is>
          <t>Agua y refrescos</t>
        </is>
      </c>
      <c r="C18" s="30" t="inlineStr">
        <is>
          <t>Bebidas</t>
        </is>
      </c>
      <c r="D18" s="31" t="n">
        <v>0.7</v>
      </c>
      <c r="E18" s="32" t="n"/>
      <c r="F18" s="33" t="inlineStr">
        <is>
          <t>l</t>
        </is>
      </c>
      <c r="G18" s="9" t="n">
        <v>1.1</v>
      </c>
      <c r="H18" s="34">
        <f>IF(B18="","",IF(OR(F18="ud",F18="botella"),-INT(-IF(N(D18)&gt;0,D18*Resumen!$F$7*(1+Resumen!$C$8),N(E18))),ROUND(IF(N(D18)&gt;0,D18*Resumen!$F$7*(1+Resumen!$C$8),N(E18)),2)))</f>
        <v/>
      </c>
      <c r="I18" s="22">
        <f>IF(B18="","",ROUND(H18*N(G18),2))</f>
        <v/>
      </c>
      <c r="J18" s="30" t="inlineStr">
        <is>
          <t>Javier y Sofía</t>
        </is>
      </c>
      <c r="K18" s="33" t="inlineStr">
        <is>
          <t>No</t>
        </is>
      </c>
      <c r="L18" s="9" t="n"/>
      <c r="M18" s="22">
        <f>IF(B18="","",IF(L18="",I18,L18))</f>
        <v/>
      </c>
    </row>
    <row r="19">
      <c r="B19" s="30" t="inlineStr">
        <is>
          <t>Uvas para las campanadas</t>
        </is>
      </c>
      <c r="C19" s="30" t="inlineStr">
        <is>
          <t>Uvas y cotillón</t>
        </is>
      </c>
      <c r="D19" s="31" t="n">
        <v>0.15</v>
      </c>
      <c r="E19" s="32" t="n"/>
      <c r="F19" s="33" t="inlineStr">
        <is>
          <t>kg</t>
        </is>
      </c>
      <c r="G19" s="9" t="n">
        <v>3.8</v>
      </c>
      <c r="H19" s="34">
        <f>IF(B19="","",IF(OR(F19="ud",F19="botella"),-INT(-IF(N(D19)&gt;0,D19*Resumen!$F$7*(1+Resumen!$C$8),N(E19))),ROUND(IF(N(D19)&gt;0,D19*Resumen!$F$7*(1+Resumen!$C$8),N(E19)),2)))</f>
        <v/>
      </c>
      <c r="I19" s="22">
        <f>IF(B19="","",ROUND(H19*N(G19),2))</f>
        <v/>
      </c>
      <c r="J19" s="30" t="inlineStr">
        <is>
          <t>Diego</t>
        </is>
      </c>
      <c r="K19" s="33" t="inlineStr">
        <is>
          <t>No</t>
        </is>
      </c>
      <c r="L19" s="9" t="n"/>
      <c r="M19" s="22">
        <f>IF(B19="","",IF(L19="",I19,L19))</f>
        <v/>
      </c>
    </row>
    <row r="20">
      <c r="B20" s="30" t="inlineStr">
        <is>
          <t>Gorros, antifaces y serpentinas</t>
        </is>
      </c>
      <c r="C20" s="30" t="inlineStr">
        <is>
          <t>Uvas y cotillón</t>
        </is>
      </c>
      <c r="D20" s="31" t="n">
        <v>1</v>
      </c>
      <c r="E20" s="32" t="n"/>
      <c r="F20" s="33" t="inlineStr">
        <is>
          <t>ud</t>
        </is>
      </c>
      <c r="G20" s="9" t="n">
        <v>1.6</v>
      </c>
      <c r="H20" s="34">
        <f>IF(B20="","",IF(OR(F20="ud",F20="botella"),-INT(-IF(N(D20)&gt;0,D20*Resumen!$F$7*(1+Resumen!$C$8),N(E20))),ROUND(IF(N(D20)&gt;0,D20*Resumen!$F$7*(1+Resumen!$C$8),N(E20)),2)))</f>
        <v/>
      </c>
      <c r="I20" s="22">
        <f>IF(B20="","",ROUND(H20*N(G20),2))</f>
        <v/>
      </c>
      <c r="J20" s="30" t="inlineStr">
        <is>
          <t>Diego</t>
        </is>
      </c>
      <c r="K20" s="33" t="inlineStr">
        <is>
          <t>Sí</t>
        </is>
      </c>
      <c r="L20" s="9" t="n">
        <v>21.5</v>
      </c>
      <c r="M20" s="22">
        <f>IF(B20="","",IF(L20="",I20,L20))</f>
        <v/>
      </c>
    </row>
    <row r="21">
      <c r="B21" s="30" t="inlineStr">
        <is>
          <t>Hielo (bolsa de 2 kg)</t>
        </is>
      </c>
      <c r="C21" s="30" t="inlineStr">
        <is>
          <t>Bebidas</t>
        </is>
      </c>
      <c r="D21" s="31" t="n"/>
      <c r="E21" s="32" t="n">
        <v>3</v>
      </c>
      <c r="F21" s="33" t="inlineStr">
        <is>
          <t>ud</t>
        </is>
      </c>
      <c r="G21" s="9" t="n">
        <v>2.4</v>
      </c>
      <c r="H21" s="34">
        <f>IF(B21="","",IF(OR(F21="ud",F21="botella"),-INT(-IF(N(D21)&gt;0,D21*Resumen!$F$7*(1+Resumen!$C$8),N(E21))),ROUND(IF(N(D21)&gt;0,D21*Resumen!$F$7*(1+Resumen!$C$8),N(E21)),2)))</f>
        <v/>
      </c>
      <c r="I21" s="22">
        <f>IF(B21="","",ROUND(H21*N(G21),2))</f>
        <v/>
      </c>
      <c r="J21" s="30" t="inlineStr">
        <is>
          <t>Javier y Sofía</t>
        </is>
      </c>
      <c r="K21" s="33" t="inlineStr">
        <is>
          <t>No</t>
        </is>
      </c>
      <c r="L21" s="9" t="n"/>
      <c r="M21" s="22">
        <f>IF(B21="","",IF(L21="",I21,L21))</f>
        <v/>
      </c>
    </row>
    <row r="22">
      <c r="B22" s="30" t="inlineStr">
        <is>
          <t>Tarta de chocolate y nata</t>
        </is>
      </c>
      <c r="C22" s="30" t="inlineStr">
        <is>
          <t>Postre</t>
        </is>
      </c>
      <c r="D22" s="31" t="n"/>
      <c r="E22" s="32" t="n">
        <v>1</v>
      </c>
      <c r="F22" s="33" t="inlineStr">
        <is>
          <t>ud</t>
        </is>
      </c>
      <c r="G22" s="9" t="n">
        <v>28</v>
      </c>
      <c r="H22" s="34">
        <f>IF(B22="","",IF(OR(F22="ud",F22="botella"),-INT(-IF(N(D22)&gt;0,D22*Resumen!$F$7*(1+Resumen!$C$8),N(E22))),ROUND(IF(N(D22)&gt;0,D22*Resumen!$F$7*(1+Resumen!$C$8),N(E22)),2)))</f>
        <v/>
      </c>
      <c r="I22" s="22">
        <f>IF(B22="","",ROUND(H22*N(G22),2))</f>
        <v/>
      </c>
      <c r="J22" s="30" t="inlineStr">
        <is>
          <t>Carmen</t>
        </is>
      </c>
      <c r="K22" s="33" t="inlineStr">
        <is>
          <t>No</t>
        </is>
      </c>
      <c r="L22" s="9" t="n"/>
      <c r="M22" s="22">
        <f>IF(B22="","",IF(L22="",I22,L22))</f>
        <v/>
      </c>
    </row>
    <row r="23">
      <c r="B23" s="30" t="inlineStr">
        <is>
          <t>Globos, guirnaldas y velas</t>
        </is>
      </c>
      <c r="C23" s="30" t="inlineStr">
        <is>
          <t>Decoración</t>
        </is>
      </c>
      <c r="D23" s="31" t="n"/>
      <c r="E23" s="32" t="n">
        <v>1</v>
      </c>
      <c r="F23" s="33" t="inlineStr">
        <is>
          <t>ud</t>
        </is>
      </c>
      <c r="G23" s="9" t="n">
        <v>22</v>
      </c>
      <c r="H23" s="34">
        <f>IF(B23="","",IF(OR(F23="ud",F23="botella"),-INT(-IF(N(D23)&gt;0,D23*Resumen!$F$7*(1+Resumen!$C$8),N(E23))),ROUND(IF(N(D23)&gt;0,D23*Resumen!$F$7*(1+Resumen!$C$8),N(E23)),2)))</f>
        <v/>
      </c>
      <c r="I23" s="22">
        <f>IF(B23="","",ROUND(H23*N(G23),2))</f>
        <v/>
      </c>
      <c r="J23" s="30" t="inlineStr">
        <is>
          <t>Irene</t>
        </is>
      </c>
      <c r="K23" s="33" t="inlineStr">
        <is>
          <t>Sí</t>
        </is>
      </c>
      <c r="L23" s="9" t="n">
        <v>19.75</v>
      </c>
      <c r="M23" s="22">
        <f>IF(B23="","",IF(L23="",I23,L23))</f>
        <v/>
      </c>
    </row>
    <row r="24">
      <c r="B24" s="30" t="inlineStr">
        <is>
          <t>Altavoz bluetooth (alquiler)</t>
        </is>
      </c>
      <c r="C24" s="30" t="inlineStr">
        <is>
          <t>Música y ambiente</t>
        </is>
      </c>
      <c r="D24" s="31" t="n"/>
      <c r="E24" s="32" t="n">
        <v>1</v>
      </c>
      <c r="F24" s="33" t="inlineStr">
        <is>
          <t>ud</t>
        </is>
      </c>
      <c r="G24" s="9" t="n">
        <v>25</v>
      </c>
      <c r="H24" s="34">
        <f>IF(B24="","",IF(OR(F24="ud",F24="botella"),-INT(-IF(N(D24)&gt;0,D24*Resumen!$F$7*(1+Resumen!$C$8),N(E24))),ROUND(IF(N(D24)&gt;0,D24*Resumen!$F$7*(1+Resumen!$C$8),N(E24)),2)))</f>
        <v/>
      </c>
      <c r="I24" s="22">
        <f>IF(B24="","",ROUND(H24*N(G24),2))</f>
        <v/>
      </c>
      <c r="J24" s="30" t="inlineStr">
        <is>
          <t>Marcos</t>
        </is>
      </c>
      <c r="K24" s="33" t="inlineStr">
        <is>
          <t>No</t>
        </is>
      </c>
      <c r="L24" s="9" t="n"/>
      <c r="M24" s="22">
        <f>IF(B24="","",IF(L24="",I24,L24))</f>
        <v/>
      </c>
    </row>
    <row r="25">
      <c r="B25" s="30" t="inlineStr">
        <is>
          <t>Vajilla desechable y servilletas</t>
        </is>
      </c>
      <c r="C25" s="30" t="inlineStr">
        <is>
          <t>Otros</t>
        </is>
      </c>
      <c r="D25" s="31" t="n"/>
      <c r="E25" s="32" t="n">
        <v>1</v>
      </c>
      <c r="F25" s="33" t="inlineStr">
        <is>
          <t>ud</t>
        </is>
      </c>
      <c r="G25" s="9" t="n">
        <v>15</v>
      </c>
      <c r="H25" s="34">
        <f>IF(B25="","",IF(OR(F25="ud",F25="botella"),-INT(-IF(N(D25)&gt;0,D25*Resumen!$F$7*(1+Resumen!$C$8),N(E25))),ROUND(IF(N(D25)&gt;0,D25*Resumen!$F$7*(1+Resumen!$C$8),N(E25)),2)))</f>
        <v/>
      </c>
      <c r="I25" s="22">
        <f>IF(B25="","",ROUND(H25*N(G25),2))</f>
        <v/>
      </c>
      <c r="J25" s="30" t="inlineStr">
        <is>
          <t>Irene</t>
        </is>
      </c>
      <c r="K25" s="33" t="inlineStr">
        <is>
          <t>No</t>
        </is>
      </c>
      <c r="L25" s="9" t="n"/>
      <c r="M25" s="22">
        <f>IF(B25="","",IF(L25="",I25,L25))</f>
        <v/>
      </c>
    </row>
    <row r="26">
      <c r="B26" s="30" t="n"/>
      <c r="C26" s="30" t="n"/>
      <c r="D26" s="31" t="n"/>
      <c r="E26" s="32" t="n"/>
      <c r="F26" s="33" t="n"/>
      <c r="G26" s="9" t="n"/>
      <c r="H26" s="34">
        <f>IF(B26="","",IF(OR(F26="ud",F26="botella"),-INT(-IF(N(D26)&gt;0,D26*Resumen!$F$7*(1+Resumen!$C$8),N(E26))),ROUND(IF(N(D26)&gt;0,D26*Resumen!$F$7*(1+Resumen!$C$8),N(E26)),2)))</f>
        <v/>
      </c>
      <c r="I26" s="22">
        <f>IF(B26="","",ROUND(H26*N(G26),2))</f>
        <v/>
      </c>
      <c r="J26" s="30" t="n"/>
      <c r="K26" s="33" t="n"/>
      <c r="L26" s="9" t="n"/>
      <c r="M26" s="22">
        <f>IF(B26="","",IF(L26="",I26,L26))</f>
        <v/>
      </c>
    </row>
    <row r="27">
      <c r="B27" s="30" t="n"/>
      <c r="C27" s="30" t="n"/>
      <c r="D27" s="31" t="n"/>
      <c r="E27" s="32" t="n"/>
      <c r="F27" s="33" t="n"/>
      <c r="G27" s="9" t="n"/>
      <c r="H27" s="34">
        <f>IF(B27="","",IF(OR(F27="ud",F27="botella"),-INT(-IF(N(D27)&gt;0,D27*Resumen!$F$7*(1+Resumen!$C$8),N(E27))),ROUND(IF(N(D27)&gt;0,D27*Resumen!$F$7*(1+Resumen!$C$8),N(E27)),2)))</f>
        <v/>
      </c>
      <c r="I27" s="22">
        <f>IF(B27="","",ROUND(H27*N(G27),2))</f>
        <v/>
      </c>
      <c r="J27" s="30" t="n"/>
      <c r="K27" s="33" t="n"/>
      <c r="L27" s="9" t="n"/>
      <c r="M27" s="22">
        <f>IF(B27="","",IF(L27="",I27,L27))</f>
        <v/>
      </c>
    </row>
    <row r="28">
      <c r="B28" s="30" t="n"/>
      <c r="C28" s="30" t="n"/>
      <c r="D28" s="31" t="n"/>
      <c r="E28" s="32" t="n"/>
      <c r="F28" s="33" t="n"/>
      <c r="G28" s="9" t="n"/>
      <c r="H28" s="34">
        <f>IF(B28="","",IF(OR(F28="ud",F28="botella"),-INT(-IF(N(D28)&gt;0,D28*Resumen!$F$7*(1+Resumen!$C$8),N(E28))),ROUND(IF(N(D28)&gt;0,D28*Resumen!$F$7*(1+Resumen!$C$8),N(E28)),2)))</f>
        <v/>
      </c>
      <c r="I28" s="22">
        <f>IF(B28="","",ROUND(H28*N(G28),2))</f>
        <v/>
      </c>
      <c r="J28" s="30" t="n"/>
      <c r="K28" s="33" t="n"/>
      <c r="L28" s="9" t="n"/>
      <c r="M28" s="22">
        <f>IF(B28="","",IF(L28="",I28,L28))</f>
        <v/>
      </c>
    </row>
    <row r="29">
      <c r="B29" s="30" t="n"/>
      <c r="C29" s="30" t="n"/>
      <c r="D29" s="31" t="n"/>
      <c r="E29" s="32" t="n"/>
      <c r="F29" s="33" t="n"/>
      <c r="G29" s="9" t="n"/>
      <c r="H29" s="34">
        <f>IF(B29="","",IF(OR(F29="ud",F29="botella"),-INT(-IF(N(D29)&gt;0,D29*Resumen!$F$7*(1+Resumen!$C$8),N(E29))),ROUND(IF(N(D29)&gt;0,D29*Resumen!$F$7*(1+Resumen!$C$8),N(E29)),2)))</f>
        <v/>
      </c>
      <c r="I29" s="22">
        <f>IF(B29="","",ROUND(H29*N(G29),2))</f>
        <v/>
      </c>
      <c r="J29" s="30" t="n"/>
      <c r="K29" s="33" t="n"/>
      <c r="L29" s="9" t="n"/>
      <c r="M29" s="22">
        <f>IF(B29="","",IF(L29="",I29,L29))</f>
        <v/>
      </c>
    </row>
    <row r="30">
      <c r="B30" s="30" t="n"/>
      <c r="C30" s="30" t="n"/>
      <c r="D30" s="31" t="n"/>
      <c r="E30" s="32" t="n"/>
      <c r="F30" s="33" t="n"/>
      <c r="G30" s="9" t="n"/>
      <c r="H30" s="34">
        <f>IF(B30="","",IF(OR(F30="ud",F30="botella"),-INT(-IF(N(D30)&gt;0,D30*Resumen!$F$7*(1+Resumen!$C$8),N(E30))),ROUND(IF(N(D30)&gt;0,D30*Resumen!$F$7*(1+Resumen!$C$8),N(E30)),2)))</f>
        <v/>
      </c>
      <c r="I30" s="22">
        <f>IF(B30="","",ROUND(H30*N(G30),2))</f>
        <v/>
      </c>
      <c r="J30" s="30" t="n"/>
      <c r="K30" s="33" t="n"/>
      <c r="L30" s="9" t="n"/>
      <c r="M30" s="22">
        <f>IF(B30="","",IF(L30="",I30,L30))</f>
        <v/>
      </c>
    </row>
    <row r="31">
      <c r="B31" s="30" t="n"/>
      <c r="C31" s="30" t="n"/>
      <c r="D31" s="31" t="n"/>
      <c r="E31" s="32" t="n"/>
      <c r="F31" s="33" t="n"/>
      <c r="G31" s="9" t="n"/>
      <c r="H31" s="34">
        <f>IF(B31="","",IF(OR(F31="ud",F31="botella"),-INT(-IF(N(D31)&gt;0,D31*Resumen!$F$7*(1+Resumen!$C$8),N(E31))),ROUND(IF(N(D31)&gt;0,D31*Resumen!$F$7*(1+Resumen!$C$8),N(E31)),2)))</f>
        <v/>
      </c>
      <c r="I31" s="22">
        <f>IF(B31="","",ROUND(H31*N(G31),2))</f>
        <v/>
      </c>
      <c r="J31" s="30" t="n"/>
      <c r="K31" s="33" t="n"/>
      <c r="L31" s="9" t="n"/>
      <c r="M31" s="22">
        <f>IF(B31="","",IF(L31="",I31,L31))</f>
        <v/>
      </c>
    </row>
    <row r="32">
      <c r="B32" s="30" t="n"/>
      <c r="C32" s="30" t="n"/>
      <c r="D32" s="31" t="n"/>
      <c r="E32" s="32" t="n"/>
      <c r="F32" s="33" t="n"/>
      <c r="G32" s="9" t="n"/>
      <c r="H32" s="34">
        <f>IF(B32="","",IF(OR(F32="ud",F32="botella"),-INT(-IF(N(D32)&gt;0,D32*Resumen!$F$7*(1+Resumen!$C$8),N(E32))),ROUND(IF(N(D32)&gt;0,D32*Resumen!$F$7*(1+Resumen!$C$8),N(E32)),2)))</f>
        <v/>
      </c>
      <c r="I32" s="22">
        <f>IF(B32="","",ROUND(H32*N(G32),2))</f>
        <v/>
      </c>
      <c r="J32" s="30" t="n"/>
      <c r="K32" s="33" t="n"/>
      <c r="L32" s="9" t="n"/>
      <c r="M32" s="22">
        <f>IF(B32="","",IF(L32="",I32,L32))</f>
        <v/>
      </c>
    </row>
    <row r="33">
      <c r="B33" s="30" t="n"/>
      <c r="C33" s="30" t="n"/>
      <c r="D33" s="31" t="n"/>
      <c r="E33" s="32" t="n"/>
      <c r="F33" s="33" t="n"/>
      <c r="G33" s="9" t="n"/>
      <c r="H33" s="34">
        <f>IF(B33="","",IF(OR(F33="ud",F33="botella"),-INT(-IF(N(D33)&gt;0,D33*Resumen!$F$7*(1+Resumen!$C$8),N(E33))),ROUND(IF(N(D33)&gt;0,D33*Resumen!$F$7*(1+Resumen!$C$8),N(E33)),2)))</f>
        <v/>
      </c>
      <c r="I33" s="22">
        <f>IF(B33="","",ROUND(H33*N(G33),2))</f>
        <v/>
      </c>
      <c r="J33" s="30" t="n"/>
      <c r="K33" s="33" t="n"/>
      <c r="L33" s="9" t="n"/>
      <c r="M33" s="22">
        <f>IF(B33="","",IF(L33="",I33,L33))</f>
        <v/>
      </c>
    </row>
    <row r="34">
      <c r="B34" s="30" t="n"/>
      <c r="C34" s="30" t="n"/>
      <c r="D34" s="31" t="n"/>
      <c r="E34" s="32" t="n"/>
      <c r="F34" s="33" t="n"/>
      <c r="G34" s="9" t="n"/>
      <c r="H34" s="34">
        <f>IF(B34="","",IF(OR(F34="ud",F34="botella"),-INT(-IF(N(D34)&gt;0,D34*Resumen!$F$7*(1+Resumen!$C$8),N(E34))),ROUND(IF(N(D34)&gt;0,D34*Resumen!$F$7*(1+Resumen!$C$8),N(E34)),2)))</f>
        <v/>
      </c>
      <c r="I34" s="22">
        <f>IF(B34="","",ROUND(H34*N(G34),2))</f>
        <v/>
      </c>
      <c r="J34" s="30" t="n"/>
      <c r="K34" s="33" t="n"/>
      <c r="L34" s="9" t="n"/>
      <c r="M34" s="22">
        <f>IF(B34="","",IF(L34="",I34,L34))</f>
        <v/>
      </c>
    </row>
    <row r="35">
      <c r="B35" s="30" t="n"/>
      <c r="C35" s="30" t="n"/>
      <c r="D35" s="31" t="n"/>
      <c r="E35" s="32" t="n"/>
      <c r="F35" s="33" t="n"/>
      <c r="G35" s="9" t="n"/>
      <c r="H35" s="34">
        <f>IF(B35="","",IF(OR(F35="ud",F35="botella"),-INT(-IF(N(D35)&gt;0,D35*Resumen!$F$7*(1+Resumen!$C$8),N(E35))),ROUND(IF(N(D35)&gt;0,D35*Resumen!$F$7*(1+Resumen!$C$8),N(E35)),2)))</f>
        <v/>
      </c>
      <c r="I35" s="22">
        <f>IF(B35="","",ROUND(H35*N(G35),2))</f>
        <v/>
      </c>
      <c r="J35" s="30" t="n"/>
      <c r="K35" s="33" t="n"/>
      <c r="L35" s="9" t="n"/>
      <c r="M35" s="22">
        <f>IF(B35="","",IF(L35="",I35,L35))</f>
        <v/>
      </c>
    </row>
    <row r="36">
      <c r="B36" s="30" t="n"/>
      <c r="C36" s="30" t="n"/>
      <c r="D36" s="31" t="n"/>
      <c r="E36" s="32" t="n"/>
      <c r="F36" s="33" t="n"/>
      <c r="G36" s="9" t="n"/>
      <c r="H36" s="34">
        <f>IF(B36="","",IF(OR(F36="ud",F36="botella"),-INT(-IF(N(D36)&gt;0,D36*Resumen!$F$7*(1+Resumen!$C$8),N(E36))),ROUND(IF(N(D36)&gt;0,D36*Resumen!$F$7*(1+Resumen!$C$8),N(E36)),2)))</f>
        <v/>
      </c>
      <c r="I36" s="22">
        <f>IF(B36="","",ROUND(H36*N(G36),2))</f>
        <v/>
      </c>
      <c r="J36" s="30" t="n"/>
      <c r="K36" s="33" t="n"/>
      <c r="L36" s="9" t="n"/>
      <c r="M36" s="22">
        <f>IF(B36="","",IF(L36="",I36,L36))</f>
        <v/>
      </c>
    </row>
    <row r="37">
      <c r="B37" s="30" t="n"/>
      <c r="C37" s="30" t="n"/>
      <c r="D37" s="31" t="n"/>
      <c r="E37" s="32" t="n"/>
      <c r="F37" s="33" t="n"/>
      <c r="G37" s="9" t="n"/>
      <c r="H37" s="34">
        <f>IF(B37="","",IF(OR(F37="ud",F37="botella"),-INT(-IF(N(D37)&gt;0,D37*Resumen!$F$7*(1+Resumen!$C$8),N(E37))),ROUND(IF(N(D37)&gt;0,D37*Resumen!$F$7*(1+Resumen!$C$8),N(E37)),2)))</f>
        <v/>
      </c>
      <c r="I37" s="22">
        <f>IF(B37="","",ROUND(H37*N(G37),2))</f>
        <v/>
      </c>
      <c r="J37" s="30" t="n"/>
      <c r="K37" s="33" t="n"/>
      <c r="L37" s="9" t="n"/>
      <c r="M37" s="22">
        <f>IF(B37="","",IF(L37="",I37,L37))</f>
        <v/>
      </c>
    </row>
    <row r="38">
      <c r="B38" s="30" t="n"/>
      <c r="C38" s="30" t="n"/>
      <c r="D38" s="31" t="n"/>
      <c r="E38" s="32" t="n"/>
      <c r="F38" s="33" t="n"/>
      <c r="G38" s="9" t="n"/>
      <c r="H38" s="34">
        <f>IF(B38="","",IF(OR(F38="ud",F38="botella"),-INT(-IF(N(D38)&gt;0,D38*Resumen!$F$7*(1+Resumen!$C$8),N(E38))),ROUND(IF(N(D38)&gt;0,D38*Resumen!$F$7*(1+Resumen!$C$8),N(E38)),2)))</f>
        <v/>
      </c>
      <c r="I38" s="22">
        <f>IF(B38="","",ROUND(H38*N(G38),2))</f>
        <v/>
      </c>
      <c r="J38" s="30" t="n"/>
      <c r="K38" s="33" t="n"/>
      <c r="L38" s="9" t="n"/>
      <c r="M38" s="22">
        <f>IF(B38="","",IF(L38="",I38,L38))</f>
        <v/>
      </c>
    </row>
    <row r="39">
      <c r="B39" s="30" t="n"/>
      <c r="C39" s="30" t="n"/>
      <c r="D39" s="31" t="n"/>
      <c r="E39" s="32" t="n"/>
      <c r="F39" s="33" t="n"/>
      <c r="G39" s="9" t="n"/>
      <c r="H39" s="34">
        <f>IF(B39="","",IF(OR(F39="ud",F39="botella"),-INT(-IF(N(D39)&gt;0,D39*Resumen!$F$7*(1+Resumen!$C$8),N(E39))),ROUND(IF(N(D39)&gt;0,D39*Resumen!$F$7*(1+Resumen!$C$8),N(E39)),2)))</f>
        <v/>
      </c>
      <c r="I39" s="22">
        <f>IF(B39="","",ROUND(H39*N(G39),2))</f>
        <v/>
      </c>
      <c r="J39" s="30" t="n"/>
      <c r="K39" s="33" t="n"/>
      <c r="L39" s="9" t="n"/>
      <c r="M39" s="22">
        <f>IF(B39="","",IF(L39="",I39,L39))</f>
        <v/>
      </c>
    </row>
    <row r="40">
      <c r="B40" s="30" t="n"/>
      <c r="C40" s="30" t="n"/>
      <c r="D40" s="31" t="n"/>
      <c r="E40" s="32" t="n"/>
      <c r="F40" s="33" t="n"/>
      <c r="G40" s="9" t="n"/>
      <c r="H40" s="34">
        <f>IF(B40="","",IF(OR(F40="ud",F40="botella"),-INT(-IF(N(D40)&gt;0,D40*Resumen!$F$7*(1+Resumen!$C$8),N(E40))),ROUND(IF(N(D40)&gt;0,D40*Resumen!$F$7*(1+Resumen!$C$8),N(E40)),2)))</f>
        <v/>
      </c>
      <c r="I40" s="22">
        <f>IF(B40="","",ROUND(H40*N(G40),2))</f>
        <v/>
      </c>
      <c r="J40" s="30" t="n"/>
      <c r="K40" s="33" t="n"/>
      <c r="L40" s="9" t="n"/>
      <c r="M40" s="22">
        <f>IF(B40="","",IF(L40="",I40,L40))</f>
        <v/>
      </c>
    </row>
    <row r="41">
      <c r="B41" s="30" t="n"/>
      <c r="C41" s="30" t="n"/>
      <c r="D41" s="31" t="n"/>
      <c r="E41" s="32" t="n"/>
      <c r="F41" s="33" t="n"/>
      <c r="G41" s="9" t="n"/>
      <c r="H41" s="34">
        <f>IF(B41="","",IF(OR(F41="ud",F41="botella"),-INT(-IF(N(D41)&gt;0,D41*Resumen!$F$7*(1+Resumen!$C$8),N(E41))),ROUND(IF(N(D41)&gt;0,D41*Resumen!$F$7*(1+Resumen!$C$8),N(E41)),2)))</f>
        <v/>
      </c>
      <c r="I41" s="22">
        <f>IF(B41="","",ROUND(H41*N(G41),2))</f>
        <v/>
      </c>
      <c r="J41" s="30" t="n"/>
      <c r="K41" s="33" t="n"/>
      <c r="L41" s="9" t="n"/>
      <c r="M41" s="22">
        <f>IF(B41="","",IF(L41="",I41,L41))</f>
        <v/>
      </c>
    </row>
    <row r="42">
      <c r="B42" s="30" t="n"/>
      <c r="C42" s="30" t="n"/>
      <c r="D42" s="31" t="n"/>
      <c r="E42" s="32" t="n"/>
      <c r="F42" s="33" t="n"/>
      <c r="G42" s="9" t="n"/>
      <c r="H42" s="34">
        <f>IF(B42="","",IF(OR(F42="ud",F42="botella"),-INT(-IF(N(D42)&gt;0,D42*Resumen!$F$7*(1+Resumen!$C$8),N(E42))),ROUND(IF(N(D42)&gt;0,D42*Resumen!$F$7*(1+Resumen!$C$8),N(E42)),2)))</f>
        <v/>
      </c>
      <c r="I42" s="22">
        <f>IF(B42="","",ROUND(H42*N(G42),2))</f>
        <v/>
      </c>
      <c r="J42" s="30" t="n"/>
      <c r="K42" s="33" t="n"/>
      <c r="L42" s="9" t="n"/>
      <c r="M42" s="22">
        <f>IF(B42="","",IF(L42="",I42,L42))</f>
        <v/>
      </c>
    </row>
    <row r="43">
      <c r="B43" s="30" t="n"/>
      <c r="C43" s="30" t="n"/>
      <c r="D43" s="31" t="n"/>
      <c r="E43" s="32" t="n"/>
      <c r="F43" s="33" t="n"/>
      <c r="G43" s="9" t="n"/>
      <c r="H43" s="34">
        <f>IF(B43="","",IF(OR(F43="ud",F43="botella"),-INT(-IF(N(D43)&gt;0,D43*Resumen!$F$7*(1+Resumen!$C$8),N(E43))),ROUND(IF(N(D43)&gt;0,D43*Resumen!$F$7*(1+Resumen!$C$8),N(E43)),2)))</f>
        <v/>
      </c>
      <c r="I43" s="22">
        <f>IF(B43="","",ROUND(H43*N(G43),2))</f>
        <v/>
      </c>
      <c r="J43" s="30" t="n"/>
      <c r="K43" s="33" t="n"/>
      <c r="L43" s="9" t="n"/>
      <c r="M43" s="22">
        <f>IF(B43="","",IF(L43="",I43,L43))</f>
        <v/>
      </c>
    </row>
    <row r="44">
      <c r="B44" s="30" t="n"/>
      <c r="C44" s="30" t="n"/>
      <c r="D44" s="31" t="n"/>
      <c r="E44" s="32" t="n"/>
      <c r="F44" s="33" t="n"/>
      <c r="G44" s="9" t="n"/>
      <c r="H44" s="34">
        <f>IF(B44="","",IF(OR(F44="ud",F44="botella"),-INT(-IF(N(D44)&gt;0,D44*Resumen!$F$7*(1+Resumen!$C$8),N(E44))),ROUND(IF(N(D44)&gt;0,D44*Resumen!$F$7*(1+Resumen!$C$8),N(E44)),2)))</f>
        <v/>
      </c>
      <c r="I44" s="22">
        <f>IF(B44="","",ROUND(H44*N(G44),2))</f>
        <v/>
      </c>
      <c r="J44" s="30" t="n"/>
      <c r="K44" s="33" t="n"/>
      <c r="L44" s="9" t="n"/>
      <c r="M44" s="22">
        <f>IF(B44="","",IF(L44="",I44,L44))</f>
        <v/>
      </c>
    </row>
    <row r="45">
      <c r="B45" s="30" t="n"/>
      <c r="C45" s="30" t="n"/>
      <c r="D45" s="31" t="n"/>
      <c r="E45" s="32" t="n"/>
      <c r="F45" s="33" t="n"/>
      <c r="G45" s="9" t="n"/>
      <c r="H45" s="34">
        <f>IF(B45="","",IF(OR(F45="ud",F45="botella"),-INT(-IF(N(D45)&gt;0,D45*Resumen!$F$7*(1+Resumen!$C$8),N(E45))),ROUND(IF(N(D45)&gt;0,D45*Resumen!$F$7*(1+Resumen!$C$8),N(E45)),2)))</f>
        <v/>
      </c>
      <c r="I45" s="22">
        <f>IF(B45="","",ROUND(H45*N(G45),2))</f>
        <v/>
      </c>
      <c r="J45" s="30" t="n"/>
      <c r="K45" s="33" t="n"/>
      <c r="L45" s="9" t="n"/>
      <c r="M45" s="22">
        <f>IF(B45="","",IF(L45="",I45,L45))</f>
        <v/>
      </c>
    </row>
    <row r="46">
      <c r="B46" s="30" t="n"/>
      <c r="C46" s="30" t="n"/>
      <c r="D46" s="31" t="n"/>
      <c r="E46" s="32" t="n"/>
      <c r="F46" s="33" t="n"/>
      <c r="G46" s="9" t="n"/>
      <c r="H46" s="34">
        <f>IF(B46="","",IF(OR(F46="ud",F46="botella"),-INT(-IF(N(D46)&gt;0,D46*Resumen!$F$7*(1+Resumen!$C$8),N(E46))),ROUND(IF(N(D46)&gt;0,D46*Resumen!$F$7*(1+Resumen!$C$8),N(E46)),2)))</f>
        <v/>
      </c>
      <c r="I46" s="22">
        <f>IF(B46="","",ROUND(H46*N(G46),2))</f>
        <v/>
      </c>
      <c r="J46" s="30" t="n"/>
      <c r="K46" s="33" t="n"/>
      <c r="L46" s="9" t="n"/>
      <c r="M46" s="22">
        <f>IF(B46="","",IF(L46="",I46,L46))</f>
        <v/>
      </c>
    </row>
    <row r="47">
      <c r="B47" s="30" t="n"/>
      <c r="C47" s="30" t="n"/>
      <c r="D47" s="31" t="n"/>
      <c r="E47" s="32" t="n"/>
      <c r="F47" s="33" t="n"/>
      <c r="G47" s="9" t="n"/>
      <c r="H47" s="34">
        <f>IF(B47="","",IF(OR(F47="ud",F47="botella"),-INT(-IF(N(D47)&gt;0,D47*Resumen!$F$7*(1+Resumen!$C$8),N(E47))),ROUND(IF(N(D47)&gt;0,D47*Resumen!$F$7*(1+Resumen!$C$8),N(E47)),2)))</f>
        <v/>
      </c>
      <c r="I47" s="22">
        <f>IF(B47="","",ROUND(H47*N(G47),2))</f>
        <v/>
      </c>
      <c r="J47" s="30" t="n"/>
      <c r="K47" s="33" t="n"/>
      <c r="L47" s="9" t="n"/>
      <c r="M47" s="22">
        <f>IF(B47="","",IF(L47="",I47,L47))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autoFilter ref="B7:M47"/>
  <mergeCells count="2">
    <mergeCell ref="B3:M3"/>
    <mergeCell ref="B2:M2"/>
  </mergeCells>
  <conditionalFormatting sqref="K8:K47">
    <cfRule type="cellIs" priority="1" operator="equal" dxfId="2">
      <formula>"Sí"</formula>
    </cfRule>
    <cfRule type="cellIs" priority="2" operator="equal" dxfId="1">
      <formula>"No"</formula>
    </cfRule>
  </conditionalFormatting>
  <conditionalFormatting sqref="L8:L47">
    <cfRule type="expression" priority="3" dxfId="0">
      <formula>AND(ISNUMBER(L8),L8&gt;I8)</formula>
    </cfRule>
  </conditionalFormatting>
  <dataValidations count="4">
    <dataValidation sqref="C8:C47" showDropDown="0" showInputMessage="0" showErrorMessage="0" allowBlank="1" type="list">
      <formula1>=Listas!$A$2:$A$10</formula1>
    </dataValidation>
    <dataValidation sqref="F8:F47" showDropDown="0" showInputMessage="0" showErrorMessage="0" allowBlank="1" type="list">
      <formula1>"kg,l,ud,botella"</formula1>
    </dataValidation>
    <dataValidation sqref="J8:J47" showDropDown="0" showInputMessage="0" showErrorMessage="0" allowBlank="1" type="list">
      <formula1>=Invitados!$B$8:$B$37</formula1>
    </dataValidation>
    <dataValidation sqref="K8:K47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O3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3" customWidth="1" min="3" max="3"/>
    <col width="9" customWidth="1" min="4" max="4"/>
    <col width="8" customWidth="1" min="5" max="5"/>
    <col width="22" customWidth="1" min="6" max="6"/>
    <col width="26" customWidth="1" min="7" max="7"/>
    <col width="10" customWidth="1" min="8" max="8"/>
    <col width="1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4" customWidth="1" min="15" max="15"/>
  </cols>
  <sheetData>
    <row r="2" ht="34" customHeight="1">
      <c r="B2" s="1" t="inlineStr">
        <is>
          <t>Invitados y reparto de gastos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Confirma quién viene, cuántos sois y quién adelanta cada compra. La cuota y el saldo de cada uno se calculan solos.</t>
        </is>
      </c>
    </row>
    <row r="5">
      <c r="B5" s="29" t="inlineStr">
        <is>
          <t>TOTALES</t>
        </is>
      </c>
      <c r="D5" s="25">
        <f>SUM(D8:D37)</f>
        <v/>
      </c>
      <c r="E5" s="25">
        <f>SUM(E8:E37)</f>
        <v/>
      </c>
      <c r="H5" s="25">
        <f>SUM(H8:H37)</f>
        <v/>
      </c>
      <c r="I5" s="35">
        <f>SUM(I8:I37)</f>
        <v/>
      </c>
      <c r="J5" s="26">
        <f>SUM(J8:J37)</f>
        <v/>
      </c>
      <c r="K5" s="26">
        <f>SUM(K8:K37)</f>
        <v/>
      </c>
      <c r="N5" s="26">
        <f>SUM(N8:N37)</f>
        <v/>
      </c>
    </row>
    <row r="7" ht="42" customHeight="1">
      <c r="B7" s="19" t="inlineStr">
        <is>
          <t>Invitado</t>
        </is>
      </c>
      <c r="C7" s="19" t="inlineStr">
        <is>
          <t>Confirmado</t>
        </is>
      </c>
      <c r="D7" s="19" t="inlineStr">
        <is>
          <t>Adultos</t>
        </is>
      </c>
      <c r="E7" s="19" t="inlineStr">
        <is>
          <t>Niños</t>
        </is>
      </c>
      <c r="F7" s="19" t="inlineStr">
        <is>
          <t>Dieta o alergias</t>
        </is>
      </c>
      <c r="G7" s="19" t="inlineStr">
        <is>
          <t>Lleva o aporta</t>
        </is>
      </c>
      <c r="H7" s="19" t="inlineStr">
        <is>
          <t>Personas</t>
        </is>
      </c>
      <c r="I7" s="19" t="inlineStr">
        <is>
          <t>Cuotas</t>
        </is>
      </c>
      <c r="J7" s="19" t="inlineStr">
        <is>
          <t>Cuota a pagar</t>
        </is>
      </c>
      <c r="K7" s="19" t="inlineStr">
        <is>
          <t>Adelanta (compras)</t>
        </is>
      </c>
      <c r="L7" s="19" t="inlineStr">
        <is>
          <t>Saldo</t>
        </is>
      </c>
      <c r="M7" s="19" t="inlineStr">
        <is>
          <t>Ya enviado</t>
        </is>
      </c>
      <c r="N7" s="19" t="inlineStr">
        <is>
          <t>Pendiente de pagar</t>
        </is>
      </c>
      <c r="O7" s="19" t="inlineStr">
        <is>
          <t>Estado</t>
        </is>
      </c>
    </row>
    <row r="8">
      <c r="B8" s="30" t="inlineStr">
        <is>
          <t>Lucía (anfitriona)</t>
        </is>
      </c>
      <c r="C8" s="33" t="inlineStr">
        <is>
          <t>Sí</t>
        </is>
      </c>
      <c r="D8" s="13" t="n">
        <v>1</v>
      </c>
      <c r="E8" s="13" t="n">
        <v>0</v>
      </c>
      <c r="F8" s="30" t="n"/>
      <c r="G8" s="30" t="inlineStr">
        <is>
          <t>Casa y cocina</t>
        </is>
      </c>
      <c r="H8" s="21">
        <f>IF(OR(B8="",C8&lt;&gt;"Sí"),0,N(D8)+N(E8))</f>
        <v/>
      </c>
      <c r="I8" s="36">
        <f>IF(OR(B8="",C8&lt;&gt;"Sí"),0,N(D8)+N(E8)*Resumen!$C$9)</f>
        <v/>
      </c>
      <c r="J8" s="22">
        <f>IF(B8="","",I8*Resumen!$D$12)</f>
        <v/>
      </c>
      <c r="K8" s="22">
        <f>IF(B8="","",SUMIF(Compras!$J$8:$J$47,B8,Compras!$M$8:$M$47))</f>
        <v/>
      </c>
      <c r="L8" s="22">
        <f>IF(B8="","",K8-J8)</f>
        <v/>
      </c>
      <c r="M8" s="9" t="n"/>
      <c r="N8" s="22">
        <f>IF(B8="","",IF(L8&lt;0,MAX(ROUND(-L8-N(M8),2),0),0))</f>
        <v/>
      </c>
      <c r="O8" s="37">
        <f>IF(B8="","",IF(AND(C8&lt;&gt;"Sí",K8=0),"Sin reparto",IF(ROUND(L8,2)&gt;0,"Le deben",IF(ROUND(L8,2)&lt;0,IF(N8&lt;=0,"Liquidado","Debe pagar"),"Cuadrado"))))</f>
        <v/>
      </c>
    </row>
    <row r="9">
      <c r="B9" s="30" t="inlineStr">
        <is>
          <t>Marcos</t>
        </is>
      </c>
      <c r="C9" s="33" t="inlineStr">
        <is>
          <t>Sí</t>
        </is>
      </c>
      <c r="D9" s="13" t="n">
        <v>1</v>
      </c>
      <c r="E9" s="13" t="n">
        <v>0</v>
      </c>
      <c r="F9" s="30" t="n"/>
      <c r="G9" s="30" t="inlineStr">
        <is>
          <t>Bebidas</t>
        </is>
      </c>
      <c r="H9" s="21">
        <f>IF(OR(B9="",C9&lt;&gt;"Sí"),0,N(D9)+N(E9))</f>
        <v/>
      </c>
      <c r="I9" s="36">
        <f>IF(OR(B9="",C9&lt;&gt;"Sí"),0,N(D9)+N(E9)*Resumen!$C$9)</f>
        <v/>
      </c>
      <c r="J9" s="22">
        <f>IF(B9="","",I9*Resumen!$D$12)</f>
        <v/>
      </c>
      <c r="K9" s="22">
        <f>IF(B9="","",SUMIF(Compras!$J$8:$J$47,B9,Compras!$M$8:$M$47))</f>
        <v/>
      </c>
      <c r="L9" s="22">
        <f>IF(B9="","",K9-J9)</f>
        <v/>
      </c>
      <c r="M9" s="9" t="n"/>
      <c r="N9" s="22">
        <f>IF(B9="","",IF(L9&lt;0,MAX(ROUND(-L9-N(M9),2),0),0))</f>
        <v/>
      </c>
      <c r="O9" s="37">
        <f>IF(B9="","",IF(AND(C9&lt;&gt;"Sí",K9=0),"Sin reparto",IF(ROUND(L9,2)&gt;0,"Le deben",IF(ROUND(L9,2)&lt;0,IF(N9&lt;=0,"Liquidado","Debe pagar"),"Cuadrado"))))</f>
        <v/>
      </c>
    </row>
    <row r="10">
      <c r="B10" s="30" t="inlineStr">
        <is>
          <t>Elena y Pablo</t>
        </is>
      </c>
      <c r="C10" s="33" t="inlineStr">
        <is>
          <t>Sí</t>
        </is>
      </c>
      <c r="D10" s="13" t="n">
        <v>2</v>
      </c>
      <c r="E10" s="13" t="n">
        <v>1</v>
      </c>
      <c r="F10" s="30" t="inlineStr">
        <is>
          <t>Niño sin frutos secos</t>
        </is>
      </c>
      <c r="G10" s="30" t="inlineStr">
        <is>
          <t>Ensaladilla rusa</t>
        </is>
      </c>
      <c r="H10" s="21">
        <f>IF(OR(B10="",C10&lt;&gt;"Sí"),0,N(D10)+N(E10))</f>
        <v/>
      </c>
      <c r="I10" s="36">
        <f>IF(OR(B10="",C10&lt;&gt;"Sí"),0,N(D10)+N(E10)*Resumen!$C$9)</f>
        <v/>
      </c>
      <c r="J10" s="22">
        <f>IF(B10="","",I10*Resumen!$D$12)</f>
        <v/>
      </c>
      <c r="K10" s="22">
        <f>IF(B10="","",SUMIF(Compras!$J$8:$J$47,B10,Compras!$M$8:$M$47))</f>
        <v/>
      </c>
      <c r="L10" s="22">
        <f>IF(B10="","",K10-J10)</f>
        <v/>
      </c>
      <c r="M10" s="9" t="n">
        <v>10</v>
      </c>
      <c r="N10" s="22">
        <f>IF(B10="","",IF(L10&lt;0,MAX(ROUND(-L10-N(M10),2),0),0))</f>
        <v/>
      </c>
      <c r="O10" s="37">
        <f>IF(B10="","",IF(AND(C10&lt;&gt;"Sí",K10=0),"Sin reparto",IF(ROUND(L10,2)&gt;0,"Le deben",IF(ROUND(L10,2)&lt;0,IF(N10&lt;=0,"Liquidado","Debe pagar"),"Cuadrado"))))</f>
        <v/>
      </c>
    </row>
    <row r="11">
      <c r="B11" s="30" t="inlineStr">
        <is>
          <t>Carmen</t>
        </is>
      </c>
      <c r="C11" s="33" t="inlineStr">
        <is>
          <t>Sí</t>
        </is>
      </c>
      <c r="D11" s="13" t="n">
        <v>1</v>
      </c>
      <c r="E11" s="13" t="n">
        <v>0</v>
      </c>
      <c r="F11" s="30" t="inlineStr">
        <is>
          <t>Vegetariana</t>
        </is>
      </c>
      <c r="G11" s="30" t="inlineStr">
        <is>
          <t>Postres</t>
        </is>
      </c>
      <c r="H11" s="21">
        <f>IF(OR(B11="",C11&lt;&gt;"Sí"),0,N(D11)+N(E11))</f>
        <v/>
      </c>
      <c r="I11" s="36">
        <f>IF(OR(B11="",C11&lt;&gt;"Sí"),0,N(D11)+N(E11)*Resumen!$C$9)</f>
        <v/>
      </c>
      <c r="J11" s="22">
        <f>IF(B11="","",I11*Resumen!$D$12)</f>
        <v/>
      </c>
      <c r="K11" s="22">
        <f>IF(B11="","",SUMIF(Compras!$J$8:$J$47,B11,Compras!$M$8:$M$47))</f>
        <v/>
      </c>
      <c r="L11" s="22">
        <f>IF(B11="","",K11-J11)</f>
        <v/>
      </c>
      <c r="M11" s="9" t="n">
        <v>25</v>
      </c>
      <c r="N11" s="22">
        <f>IF(B11="","",IF(L11&lt;0,MAX(ROUND(-L11-N(M11),2),0),0))</f>
        <v/>
      </c>
      <c r="O11" s="37">
        <f>IF(B11="","",IF(AND(C11&lt;&gt;"Sí",K11=0),"Sin reparto",IF(ROUND(L11,2)&gt;0,"Le deben",IF(ROUND(L11,2)&lt;0,IF(N11&lt;=0,"Liquidado","Debe pagar"),"Cuadrado"))))</f>
        <v/>
      </c>
    </row>
    <row r="12">
      <c r="B12" s="30" t="inlineStr">
        <is>
          <t>Javier y Sofía</t>
        </is>
      </c>
      <c r="C12" s="33" t="inlineStr">
        <is>
          <t>Sí</t>
        </is>
      </c>
      <c r="D12" s="13" t="n">
        <v>2</v>
      </c>
      <c r="E12" s="13" t="n">
        <v>0</v>
      </c>
      <c r="F12" s="30" t="n"/>
      <c r="G12" s="30" t="inlineStr">
        <is>
          <t>Hielo y refrescos</t>
        </is>
      </c>
      <c r="H12" s="21">
        <f>IF(OR(B12="",C12&lt;&gt;"Sí"),0,N(D12)+N(E12))</f>
        <v/>
      </c>
      <c r="I12" s="36">
        <f>IF(OR(B12="",C12&lt;&gt;"Sí"),0,N(D12)+N(E12)*Resumen!$C$9)</f>
        <v/>
      </c>
      <c r="J12" s="22">
        <f>IF(B12="","",I12*Resumen!$D$12)</f>
        <v/>
      </c>
      <c r="K12" s="22">
        <f>IF(B12="","",SUMIF(Compras!$J$8:$J$47,B12,Compras!$M$8:$M$47))</f>
        <v/>
      </c>
      <c r="L12" s="22">
        <f>IF(B12="","",K12-J12)</f>
        <v/>
      </c>
      <c r="M12" s="9" t="n"/>
      <c r="N12" s="22">
        <f>IF(B12="","",IF(L12&lt;0,MAX(ROUND(-L12-N(M12),2),0),0))</f>
        <v/>
      </c>
      <c r="O12" s="37">
        <f>IF(B12="","",IF(AND(C12&lt;&gt;"Sí",K12=0),"Sin reparto",IF(ROUND(L12,2)&gt;0,"Le deben",IF(ROUND(L12,2)&lt;0,IF(N12&lt;=0,"Liquidado","Debe pagar"),"Cuadrado"))))</f>
        <v/>
      </c>
    </row>
    <row r="13">
      <c r="B13" s="30" t="inlineStr">
        <is>
          <t>Ana</t>
        </is>
      </c>
      <c r="C13" s="33" t="inlineStr">
        <is>
          <t>Pendiente</t>
        </is>
      </c>
      <c r="D13" s="13" t="n">
        <v>1</v>
      </c>
      <c r="E13" s="13" t="n">
        <v>0</v>
      </c>
      <c r="F13" s="30" t="n"/>
      <c r="G13" s="30" t="n"/>
      <c r="H13" s="21">
        <f>IF(OR(B13="",C13&lt;&gt;"Sí"),0,N(D13)+N(E13))</f>
        <v/>
      </c>
      <c r="I13" s="36">
        <f>IF(OR(B13="",C13&lt;&gt;"Sí"),0,N(D13)+N(E13)*Resumen!$C$9)</f>
        <v/>
      </c>
      <c r="J13" s="22">
        <f>IF(B13="","",I13*Resumen!$D$12)</f>
        <v/>
      </c>
      <c r="K13" s="22">
        <f>IF(B13="","",SUMIF(Compras!$J$8:$J$47,B13,Compras!$M$8:$M$47))</f>
        <v/>
      </c>
      <c r="L13" s="22">
        <f>IF(B13="","",K13-J13)</f>
        <v/>
      </c>
      <c r="M13" s="9" t="n"/>
      <c r="N13" s="22">
        <f>IF(B13="","",IF(L13&lt;0,MAX(ROUND(-L13-N(M13),2),0),0))</f>
        <v/>
      </c>
      <c r="O13" s="37">
        <f>IF(B13="","",IF(AND(C13&lt;&gt;"Sí",K13=0),"Sin reparto",IF(ROUND(L13,2)&gt;0,"Le deben",IF(ROUND(L13,2)&lt;0,IF(N13&lt;=0,"Liquidado","Debe pagar"),"Cuadrado"))))</f>
        <v/>
      </c>
    </row>
    <row r="14">
      <c r="B14" s="30" t="inlineStr">
        <is>
          <t>Diego</t>
        </is>
      </c>
      <c r="C14" s="33" t="inlineStr">
        <is>
          <t>Sí</t>
        </is>
      </c>
      <c r="D14" s="13" t="n">
        <v>1</v>
      </c>
      <c r="E14" s="13" t="n">
        <v>0</v>
      </c>
      <c r="F14" s="30" t="inlineStr">
        <is>
          <t>Sin gluten</t>
        </is>
      </c>
      <c r="G14" s="30" t="inlineStr">
        <is>
          <t>Uvas y cotillón</t>
        </is>
      </c>
      <c r="H14" s="21">
        <f>IF(OR(B14="",C14&lt;&gt;"Sí"),0,N(D14)+N(E14))</f>
        <v/>
      </c>
      <c r="I14" s="36">
        <f>IF(OR(B14="",C14&lt;&gt;"Sí"),0,N(D14)+N(E14)*Resumen!$C$9)</f>
        <v/>
      </c>
      <c r="J14" s="22">
        <f>IF(B14="","",I14*Resumen!$D$12)</f>
        <v/>
      </c>
      <c r="K14" s="22">
        <f>IF(B14="","",SUMIF(Compras!$J$8:$J$47,B14,Compras!$M$8:$M$47))</f>
        <v/>
      </c>
      <c r="L14" s="22">
        <f>IF(B14="","",K14-J14)</f>
        <v/>
      </c>
      <c r="M14" s="9" t="n"/>
      <c r="N14" s="22">
        <f>IF(B14="","",IF(L14&lt;0,MAX(ROUND(-L14-N(M14),2),0),0))</f>
        <v/>
      </c>
      <c r="O14" s="37">
        <f>IF(B14="","",IF(AND(C14&lt;&gt;"Sí",K14=0),"Sin reparto",IF(ROUND(L14,2)&gt;0,"Le deben",IF(ROUND(L14,2)&lt;0,IF(N14&lt;=0,"Liquidado","Debe pagar"),"Cuadrado"))))</f>
        <v/>
      </c>
    </row>
    <row r="15">
      <c r="B15" s="30" t="inlineStr">
        <is>
          <t>Marta y Raúl</t>
        </is>
      </c>
      <c r="C15" s="33" t="inlineStr">
        <is>
          <t>Sí</t>
        </is>
      </c>
      <c r="D15" s="13" t="n">
        <v>2</v>
      </c>
      <c r="E15" s="13" t="n">
        <v>0</v>
      </c>
      <c r="F15" s="30" t="inlineStr">
        <is>
          <t>Sin marisco</t>
        </is>
      </c>
      <c r="G15" s="30" t="n"/>
      <c r="H15" s="21">
        <f>IF(OR(B15="",C15&lt;&gt;"Sí"),0,N(D15)+N(E15))</f>
        <v/>
      </c>
      <c r="I15" s="36">
        <f>IF(OR(B15="",C15&lt;&gt;"Sí"),0,N(D15)+N(E15)*Resumen!$C$9)</f>
        <v/>
      </c>
      <c r="J15" s="22">
        <f>IF(B15="","",I15*Resumen!$D$12)</f>
        <v/>
      </c>
      <c r="K15" s="22">
        <f>IF(B15="","",SUMIF(Compras!$J$8:$J$47,B15,Compras!$M$8:$M$47))</f>
        <v/>
      </c>
      <c r="L15" s="22">
        <f>IF(B15="","",K15-J15)</f>
        <v/>
      </c>
      <c r="M15" s="9" t="n">
        <v>30</v>
      </c>
      <c r="N15" s="22">
        <f>IF(B15="","",IF(L15&lt;0,MAX(ROUND(-L15-N(M15),2),0),0))</f>
        <v/>
      </c>
      <c r="O15" s="37">
        <f>IF(B15="","",IF(AND(C15&lt;&gt;"Sí",K15=0),"Sin reparto",IF(ROUND(L15,2)&gt;0,"Le deben",IF(ROUND(L15,2)&lt;0,IF(N15&lt;=0,"Liquidado","Debe pagar"),"Cuadrado"))))</f>
        <v/>
      </c>
    </row>
    <row r="16">
      <c r="B16" s="30" t="inlineStr">
        <is>
          <t>Nacho</t>
        </is>
      </c>
      <c r="C16" s="33" t="inlineStr">
        <is>
          <t>No</t>
        </is>
      </c>
      <c r="D16" s="13" t="n">
        <v>1</v>
      </c>
      <c r="E16" s="13" t="n">
        <v>0</v>
      </c>
      <c r="F16" s="30" t="n"/>
      <c r="G16" s="30" t="n"/>
      <c r="H16" s="21">
        <f>IF(OR(B16="",C16&lt;&gt;"Sí"),0,N(D16)+N(E16))</f>
        <v/>
      </c>
      <c r="I16" s="36">
        <f>IF(OR(B16="",C16&lt;&gt;"Sí"),0,N(D16)+N(E16)*Resumen!$C$9)</f>
        <v/>
      </c>
      <c r="J16" s="22">
        <f>IF(B16="","",I16*Resumen!$D$12)</f>
        <v/>
      </c>
      <c r="K16" s="22">
        <f>IF(B16="","",SUMIF(Compras!$J$8:$J$47,B16,Compras!$M$8:$M$47))</f>
        <v/>
      </c>
      <c r="L16" s="22">
        <f>IF(B16="","",K16-J16)</f>
        <v/>
      </c>
      <c r="M16" s="9" t="n"/>
      <c r="N16" s="22">
        <f>IF(B16="","",IF(L16&lt;0,MAX(ROUND(-L16-N(M16),2),0),0))</f>
        <v/>
      </c>
      <c r="O16" s="37">
        <f>IF(B16="","",IF(AND(C16&lt;&gt;"Sí",K16=0),"Sin reparto",IF(ROUND(L16,2)&gt;0,"Le deben",IF(ROUND(L16,2)&lt;0,IF(N16&lt;=0,"Liquidado","Debe pagar"),"Cuadrado"))))</f>
        <v/>
      </c>
    </row>
    <row r="17">
      <c r="B17" s="30" t="inlineStr">
        <is>
          <t>Irene</t>
        </is>
      </c>
      <c r="C17" s="33" t="inlineStr">
        <is>
          <t>Sí</t>
        </is>
      </c>
      <c r="D17" s="13" t="n">
        <v>1</v>
      </c>
      <c r="E17" s="13" t="n">
        <v>0</v>
      </c>
      <c r="F17" s="30" t="n"/>
      <c r="G17" s="30" t="inlineStr">
        <is>
          <t>Decoración</t>
        </is>
      </c>
      <c r="H17" s="21">
        <f>IF(OR(B17="",C17&lt;&gt;"Sí"),0,N(D17)+N(E17))</f>
        <v/>
      </c>
      <c r="I17" s="36">
        <f>IF(OR(B17="",C17&lt;&gt;"Sí"),0,N(D17)+N(E17)*Resumen!$C$9)</f>
        <v/>
      </c>
      <c r="J17" s="22">
        <f>IF(B17="","",I17*Resumen!$D$12)</f>
        <v/>
      </c>
      <c r="K17" s="22">
        <f>IF(B17="","",SUMIF(Compras!$J$8:$J$47,B17,Compras!$M$8:$M$47))</f>
        <v/>
      </c>
      <c r="L17" s="22">
        <f>IF(B17="","",K17-J17)</f>
        <v/>
      </c>
      <c r="M17" s="9" t="n"/>
      <c r="N17" s="22">
        <f>IF(B17="","",IF(L17&lt;0,MAX(ROUND(-L17-N(M17),2),0),0))</f>
        <v/>
      </c>
      <c r="O17" s="37">
        <f>IF(B17="","",IF(AND(C17&lt;&gt;"Sí",K17=0),"Sin reparto",IF(ROUND(L17,2)&gt;0,"Le deben",IF(ROUND(L17,2)&lt;0,IF(N17&lt;=0,"Liquidado","Debe pagar"),"Cuadrado"))))</f>
        <v/>
      </c>
    </row>
    <row r="18">
      <c r="B18" s="30" t="n"/>
      <c r="C18" s="33" t="n"/>
      <c r="D18" s="13" t="n"/>
      <c r="E18" s="13" t="n"/>
      <c r="F18" s="30" t="n"/>
      <c r="G18" s="30" t="n"/>
      <c r="H18" s="21">
        <f>IF(OR(B18="",C18&lt;&gt;"Sí"),0,N(D18)+N(E18))</f>
        <v/>
      </c>
      <c r="I18" s="36">
        <f>IF(OR(B18="",C18&lt;&gt;"Sí"),0,N(D18)+N(E18)*Resumen!$C$9)</f>
        <v/>
      </c>
      <c r="J18" s="22">
        <f>IF(B18="","",I18*Resumen!$D$12)</f>
        <v/>
      </c>
      <c r="K18" s="22">
        <f>IF(B18="","",SUMIF(Compras!$J$8:$J$47,B18,Compras!$M$8:$M$47))</f>
        <v/>
      </c>
      <c r="L18" s="22">
        <f>IF(B18="","",K18-J18)</f>
        <v/>
      </c>
      <c r="M18" s="9" t="n"/>
      <c r="N18" s="22">
        <f>IF(B18="","",IF(L18&lt;0,MAX(ROUND(-L18-N(M18),2),0),0))</f>
        <v/>
      </c>
      <c r="O18" s="37">
        <f>IF(B18="","",IF(AND(C18&lt;&gt;"Sí",K18=0),"Sin reparto",IF(ROUND(L18,2)&gt;0,"Le deben",IF(ROUND(L18,2)&lt;0,IF(N18&lt;=0,"Liquidado","Debe pagar"),"Cuadrado"))))</f>
        <v/>
      </c>
    </row>
    <row r="19">
      <c r="B19" s="30" t="n"/>
      <c r="C19" s="33" t="n"/>
      <c r="D19" s="13" t="n"/>
      <c r="E19" s="13" t="n"/>
      <c r="F19" s="30" t="n"/>
      <c r="G19" s="30" t="n"/>
      <c r="H19" s="21">
        <f>IF(OR(B19="",C19&lt;&gt;"Sí"),0,N(D19)+N(E19))</f>
        <v/>
      </c>
      <c r="I19" s="36">
        <f>IF(OR(B19="",C19&lt;&gt;"Sí"),0,N(D19)+N(E19)*Resumen!$C$9)</f>
        <v/>
      </c>
      <c r="J19" s="22">
        <f>IF(B19="","",I19*Resumen!$D$12)</f>
        <v/>
      </c>
      <c r="K19" s="22">
        <f>IF(B19="","",SUMIF(Compras!$J$8:$J$47,B19,Compras!$M$8:$M$47))</f>
        <v/>
      </c>
      <c r="L19" s="22">
        <f>IF(B19="","",K19-J19)</f>
        <v/>
      </c>
      <c r="M19" s="9" t="n"/>
      <c r="N19" s="22">
        <f>IF(B19="","",IF(L19&lt;0,MAX(ROUND(-L19-N(M19),2),0),0))</f>
        <v/>
      </c>
      <c r="O19" s="37">
        <f>IF(B19="","",IF(AND(C19&lt;&gt;"Sí",K19=0),"Sin reparto",IF(ROUND(L19,2)&gt;0,"Le deben",IF(ROUND(L19,2)&lt;0,IF(N19&lt;=0,"Liquidado","Debe pagar"),"Cuadrado"))))</f>
        <v/>
      </c>
    </row>
    <row r="20">
      <c r="B20" s="30" t="n"/>
      <c r="C20" s="33" t="n"/>
      <c r="D20" s="13" t="n"/>
      <c r="E20" s="13" t="n"/>
      <c r="F20" s="30" t="n"/>
      <c r="G20" s="30" t="n"/>
      <c r="H20" s="21">
        <f>IF(OR(B20="",C20&lt;&gt;"Sí"),0,N(D20)+N(E20))</f>
        <v/>
      </c>
      <c r="I20" s="36">
        <f>IF(OR(B20="",C20&lt;&gt;"Sí"),0,N(D20)+N(E20)*Resumen!$C$9)</f>
        <v/>
      </c>
      <c r="J20" s="22">
        <f>IF(B20="","",I20*Resumen!$D$12)</f>
        <v/>
      </c>
      <c r="K20" s="22">
        <f>IF(B20="","",SUMIF(Compras!$J$8:$J$47,B20,Compras!$M$8:$M$47))</f>
        <v/>
      </c>
      <c r="L20" s="22">
        <f>IF(B20="","",K20-J20)</f>
        <v/>
      </c>
      <c r="M20" s="9" t="n"/>
      <c r="N20" s="22">
        <f>IF(B20="","",IF(L20&lt;0,MAX(ROUND(-L20-N(M20),2),0),0))</f>
        <v/>
      </c>
      <c r="O20" s="37">
        <f>IF(B20="","",IF(AND(C20&lt;&gt;"Sí",K20=0),"Sin reparto",IF(ROUND(L20,2)&gt;0,"Le deben",IF(ROUND(L20,2)&lt;0,IF(N20&lt;=0,"Liquidado","Debe pagar"),"Cuadrado"))))</f>
        <v/>
      </c>
    </row>
    <row r="21">
      <c r="B21" s="30" t="n"/>
      <c r="C21" s="33" t="n"/>
      <c r="D21" s="13" t="n"/>
      <c r="E21" s="13" t="n"/>
      <c r="F21" s="30" t="n"/>
      <c r="G21" s="30" t="n"/>
      <c r="H21" s="21">
        <f>IF(OR(B21="",C21&lt;&gt;"Sí"),0,N(D21)+N(E21))</f>
        <v/>
      </c>
      <c r="I21" s="36">
        <f>IF(OR(B21="",C21&lt;&gt;"Sí"),0,N(D21)+N(E21)*Resumen!$C$9)</f>
        <v/>
      </c>
      <c r="J21" s="22">
        <f>IF(B21="","",I21*Resumen!$D$12)</f>
        <v/>
      </c>
      <c r="K21" s="22">
        <f>IF(B21="","",SUMIF(Compras!$J$8:$J$47,B21,Compras!$M$8:$M$47))</f>
        <v/>
      </c>
      <c r="L21" s="22">
        <f>IF(B21="","",K21-J21)</f>
        <v/>
      </c>
      <c r="M21" s="9" t="n"/>
      <c r="N21" s="22">
        <f>IF(B21="","",IF(L21&lt;0,MAX(ROUND(-L21-N(M21),2),0),0))</f>
        <v/>
      </c>
      <c r="O21" s="37">
        <f>IF(B21="","",IF(AND(C21&lt;&gt;"Sí",K21=0),"Sin reparto",IF(ROUND(L21,2)&gt;0,"Le deben",IF(ROUND(L21,2)&lt;0,IF(N21&lt;=0,"Liquidado","Debe pagar"),"Cuadrado"))))</f>
        <v/>
      </c>
    </row>
    <row r="22">
      <c r="B22" s="30" t="n"/>
      <c r="C22" s="33" t="n"/>
      <c r="D22" s="13" t="n"/>
      <c r="E22" s="13" t="n"/>
      <c r="F22" s="30" t="n"/>
      <c r="G22" s="30" t="n"/>
      <c r="H22" s="21">
        <f>IF(OR(B22="",C22&lt;&gt;"Sí"),0,N(D22)+N(E22))</f>
        <v/>
      </c>
      <c r="I22" s="36">
        <f>IF(OR(B22="",C22&lt;&gt;"Sí"),0,N(D22)+N(E22)*Resumen!$C$9)</f>
        <v/>
      </c>
      <c r="J22" s="22">
        <f>IF(B22="","",I22*Resumen!$D$12)</f>
        <v/>
      </c>
      <c r="K22" s="22">
        <f>IF(B22="","",SUMIF(Compras!$J$8:$J$47,B22,Compras!$M$8:$M$47))</f>
        <v/>
      </c>
      <c r="L22" s="22">
        <f>IF(B22="","",K22-J22)</f>
        <v/>
      </c>
      <c r="M22" s="9" t="n"/>
      <c r="N22" s="22">
        <f>IF(B22="","",IF(L22&lt;0,MAX(ROUND(-L22-N(M22),2),0),0))</f>
        <v/>
      </c>
      <c r="O22" s="37">
        <f>IF(B22="","",IF(AND(C22&lt;&gt;"Sí",K22=0),"Sin reparto",IF(ROUND(L22,2)&gt;0,"Le deben",IF(ROUND(L22,2)&lt;0,IF(N22&lt;=0,"Liquidado","Debe pagar"),"Cuadrado"))))</f>
        <v/>
      </c>
    </row>
    <row r="23">
      <c r="B23" s="30" t="n"/>
      <c r="C23" s="33" t="n"/>
      <c r="D23" s="13" t="n"/>
      <c r="E23" s="13" t="n"/>
      <c r="F23" s="30" t="n"/>
      <c r="G23" s="30" t="n"/>
      <c r="H23" s="21">
        <f>IF(OR(B23="",C23&lt;&gt;"Sí"),0,N(D23)+N(E23))</f>
        <v/>
      </c>
      <c r="I23" s="36">
        <f>IF(OR(B23="",C23&lt;&gt;"Sí"),0,N(D23)+N(E23)*Resumen!$C$9)</f>
        <v/>
      </c>
      <c r="J23" s="22">
        <f>IF(B23="","",I23*Resumen!$D$12)</f>
        <v/>
      </c>
      <c r="K23" s="22">
        <f>IF(B23="","",SUMIF(Compras!$J$8:$J$47,B23,Compras!$M$8:$M$47))</f>
        <v/>
      </c>
      <c r="L23" s="22">
        <f>IF(B23="","",K23-J23)</f>
        <v/>
      </c>
      <c r="M23" s="9" t="n"/>
      <c r="N23" s="22">
        <f>IF(B23="","",IF(L23&lt;0,MAX(ROUND(-L23-N(M23),2),0),0))</f>
        <v/>
      </c>
      <c r="O23" s="37">
        <f>IF(B23="","",IF(AND(C23&lt;&gt;"Sí",K23=0),"Sin reparto",IF(ROUND(L23,2)&gt;0,"Le deben",IF(ROUND(L23,2)&lt;0,IF(N23&lt;=0,"Liquidado","Debe pagar"),"Cuadrado"))))</f>
        <v/>
      </c>
    </row>
    <row r="24">
      <c r="B24" s="30" t="n"/>
      <c r="C24" s="33" t="n"/>
      <c r="D24" s="13" t="n"/>
      <c r="E24" s="13" t="n"/>
      <c r="F24" s="30" t="n"/>
      <c r="G24" s="30" t="n"/>
      <c r="H24" s="21">
        <f>IF(OR(B24="",C24&lt;&gt;"Sí"),0,N(D24)+N(E24))</f>
        <v/>
      </c>
      <c r="I24" s="36">
        <f>IF(OR(B24="",C24&lt;&gt;"Sí"),0,N(D24)+N(E24)*Resumen!$C$9)</f>
        <v/>
      </c>
      <c r="J24" s="22">
        <f>IF(B24="","",I24*Resumen!$D$12)</f>
        <v/>
      </c>
      <c r="K24" s="22">
        <f>IF(B24="","",SUMIF(Compras!$J$8:$J$47,B24,Compras!$M$8:$M$47))</f>
        <v/>
      </c>
      <c r="L24" s="22">
        <f>IF(B24="","",K24-J24)</f>
        <v/>
      </c>
      <c r="M24" s="9" t="n"/>
      <c r="N24" s="22">
        <f>IF(B24="","",IF(L24&lt;0,MAX(ROUND(-L24-N(M24),2),0),0))</f>
        <v/>
      </c>
      <c r="O24" s="37">
        <f>IF(B24="","",IF(AND(C24&lt;&gt;"Sí",K24=0),"Sin reparto",IF(ROUND(L24,2)&gt;0,"Le deben",IF(ROUND(L24,2)&lt;0,IF(N24&lt;=0,"Liquidado","Debe pagar"),"Cuadrado"))))</f>
        <v/>
      </c>
    </row>
    <row r="25">
      <c r="B25" s="30" t="n"/>
      <c r="C25" s="33" t="n"/>
      <c r="D25" s="13" t="n"/>
      <c r="E25" s="13" t="n"/>
      <c r="F25" s="30" t="n"/>
      <c r="G25" s="30" t="n"/>
      <c r="H25" s="21">
        <f>IF(OR(B25="",C25&lt;&gt;"Sí"),0,N(D25)+N(E25))</f>
        <v/>
      </c>
      <c r="I25" s="36">
        <f>IF(OR(B25="",C25&lt;&gt;"Sí"),0,N(D25)+N(E25)*Resumen!$C$9)</f>
        <v/>
      </c>
      <c r="J25" s="22">
        <f>IF(B25="","",I25*Resumen!$D$12)</f>
        <v/>
      </c>
      <c r="K25" s="22">
        <f>IF(B25="","",SUMIF(Compras!$J$8:$J$47,B25,Compras!$M$8:$M$47))</f>
        <v/>
      </c>
      <c r="L25" s="22">
        <f>IF(B25="","",K25-J25)</f>
        <v/>
      </c>
      <c r="M25" s="9" t="n"/>
      <c r="N25" s="22">
        <f>IF(B25="","",IF(L25&lt;0,MAX(ROUND(-L25-N(M25),2),0),0))</f>
        <v/>
      </c>
      <c r="O25" s="37">
        <f>IF(B25="","",IF(AND(C25&lt;&gt;"Sí",K25=0),"Sin reparto",IF(ROUND(L25,2)&gt;0,"Le deben",IF(ROUND(L25,2)&lt;0,IF(N25&lt;=0,"Liquidado","Debe pagar"),"Cuadrado"))))</f>
        <v/>
      </c>
    </row>
    <row r="26">
      <c r="B26" s="30" t="n"/>
      <c r="C26" s="33" t="n"/>
      <c r="D26" s="13" t="n"/>
      <c r="E26" s="13" t="n"/>
      <c r="F26" s="30" t="n"/>
      <c r="G26" s="30" t="n"/>
      <c r="H26" s="21">
        <f>IF(OR(B26="",C26&lt;&gt;"Sí"),0,N(D26)+N(E26))</f>
        <v/>
      </c>
      <c r="I26" s="36">
        <f>IF(OR(B26="",C26&lt;&gt;"Sí"),0,N(D26)+N(E26)*Resumen!$C$9)</f>
        <v/>
      </c>
      <c r="J26" s="22">
        <f>IF(B26="","",I26*Resumen!$D$12)</f>
        <v/>
      </c>
      <c r="K26" s="22">
        <f>IF(B26="","",SUMIF(Compras!$J$8:$J$47,B26,Compras!$M$8:$M$47))</f>
        <v/>
      </c>
      <c r="L26" s="22">
        <f>IF(B26="","",K26-J26)</f>
        <v/>
      </c>
      <c r="M26" s="9" t="n"/>
      <c r="N26" s="22">
        <f>IF(B26="","",IF(L26&lt;0,MAX(ROUND(-L26-N(M26),2),0),0))</f>
        <v/>
      </c>
      <c r="O26" s="37">
        <f>IF(B26="","",IF(AND(C26&lt;&gt;"Sí",K26=0),"Sin reparto",IF(ROUND(L26,2)&gt;0,"Le deben",IF(ROUND(L26,2)&lt;0,IF(N26&lt;=0,"Liquidado","Debe pagar"),"Cuadrado"))))</f>
        <v/>
      </c>
    </row>
    <row r="27">
      <c r="B27" s="30" t="n"/>
      <c r="C27" s="33" t="n"/>
      <c r="D27" s="13" t="n"/>
      <c r="E27" s="13" t="n"/>
      <c r="F27" s="30" t="n"/>
      <c r="G27" s="30" t="n"/>
      <c r="H27" s="21">
        <f>IF(OR(B27="",C27&lt;&gt;"Sí"),0,N(D27)+N(E27))</f>
        <v/>
      </c>
      <c r="I27" s="36">
        <f>IF(OR(B27="",C27&lt;&gt;"Sí"),0,N(D27)+N(E27)*Resumen!$C$9)</f>
        <v/>
      </c>
      <c r="J27" s="22">
        <f>IF(B27="","",I27*Resumen!$D$12)</f>
        <v/>
      </c>
      <c r="K27" s="22">
        <f>IF(B27="","",SUMIF(Compras!$J$8:$J$47,B27,Compras!$M$8:$M$47))</f>
        <v/>
      </c>
      <c r="L27" s="22">
        <f>IF(B27="","",K27-J27)</f>
        <v/>
      </c>
      <c r="M27" s="9" t="n"/>
      <c r="N27" s="22">
        <f>IF(B27="","",IF(L27&lt;0,MAX(ROUND(-L27-N(M27),2),0),0))</f>
        <v/>
      </c>
      <c r="O27" s="37">
        <f>IF(B27="","",IF(AND(C27&lt;&gt;"Sí",K27=0),"Sin reparto",IF(ROUND(L27,2)&gt;0,"Le deben",IF(ROUND(L27,2)&lt;0,IF(N27&lt;=0,"Liquidado","Debe pagar"),"Cuadrado"))))</f>
        <v/>
      </c>
    </row>
    <row r="28">
      <c r="B28" s="30" t="n"/>
      <c r="C28" s="33" t="n"/>
      <c r="D28" s="13" t="n"/>
      <c r="E28" s="13" t="n"/>
      <c r="F28" s="30" t="n"/>
      <c r="G28" s="30" t="n"/>
      <c r="H28" s="21">
        <f>IF(OR(B28="",C28&lt;&gt;"Sí"),0,N(D28)+N(E28))</f>
        <v/>
      </c>
      <c r="I28" s="36">
        <f>IF(OR(B28="",C28&lt;&gt;"Sí"),0,N(D28)+N(E28)*Resumen!$C$9)</f>
        <v/>
      </c>
      <c r="J28" s="22">
        <f>IF(B28="","",I28*Resumen!$D$12)</f>
        <v/>
      </c>
      <c r="K28" s="22">
        <f>IF(B28="","",SUMIF(Compras!$J$8:$J$47,B28,Compras!$M$8:$M$47))</f>
        <v/>
      </c>
      <c r="L28" s="22">
        <f>IF(B28="","",K28-J28)</f>
        <v/>
      </c>
      <c r="M28" s="9" t="n"/>
      <c r="N28" s="22">
        <f>IF(B28="","",IF(L28&lt;0,MAX(ROUND(-L28-N(M28),2),0),0))</f>
        <v/>
      </c>
      <c r="O28" s="37">
        <f>IF(B28="","",IF(AND(C28&lt;&gt;"Sí",K28=0),"Sin reparto",IF(ROUND(L28,2)&gt;0,"Le deben",IF(ROUND(L28,2)&lt;0,IF(N28&lt;=0,"Liquidado","Debe pagar"),"Cuadrado"))))</f>
        <v/>
      </c>
    </row>
    <row r="29">
      <c r="B29" s="30" t="n"/>
      <c r="C29" s="33" t="n"/>
      <c r="D29" s="13" t="n"/>
      <c r="E29" s="13" t="n"/>
      <c r="F29" s="30" t="n"/>
      <c r="G29" s="30" t="n"/>
      <c r="H29" s="21">
        <f>IF(OR(B29="",C29&lt;&gt;"Sí"),0,N(D29)+N(E29))</f>
        <v/>
      </c>
      <c r="I29" s="36">
        <f>IF(OR(B29="",C29&lt;&gt;"Sí"),0,N(D29)+N(E29)*Resumen!$C$9)</f>
        <v/>
      </c>
      <c r="J29" s="22">
        <f>IF(B29="","",I29*Resumen!$D$12)</f>
        <v/>
      </c>
      <c r="K29" s="22">
        <f>IF(B29="","",SUMIF(Compras!$J$8:$J$47,B29,Compras!$M$8:$M$47))</f>
        <v/>
      </c>
      <c r="L29" s="22">
        <f>IF(B29="","",K29-J29)</f>
        <v/>
      </c>
      <c r="M29" s="9" t="n"/>
      <c r="N29" s="22">
        <f>IF(B29="","",IF(L29&lt;0,MAX(ROUND(-L29-N(M29),2),0),0))</f>
        <v/>
      </c>
      <c r="O29" s="37">
        <f>IF(B29="","",IF(AND(C29&lt;&gt;"Sí",K29=0),"Sin reparto",IF(ROUND(L29,2)&gt;0,"Le deben",IF(ROUND(L29,2)&lt;0,IF(N29&lt;=0,"Liquidado","Debe pagar"),"Cuadrado"))))</f>
        <v/>
      </c>
    </row>
    <row r="30">
      <c r="B30" s="30" t="n"/>
      <c r="C30" s="33" t="n"/>
      <c r="D30" s="13" t="n"/>
      <c r="E30" s="13" t="n"/>
      <c r="F30" s="30" t="n"/>
      <c r="G30" s="30" t="n"/>
      <c r="H30" s="21">
        <f>IF(OR(B30="",C30&lt;&gt;"Sí"),0,N(D30)+N(E30))</f>
        <v/>
      </c>
      <c r="I30" s="36">
        <f>IF(OR(B30="",C30&lt;&gt;"Sí"),0,N(D30)+N(E30)*Resumen!$C$9)</f>
        <v/>
      </c>
      <c r="J30" s="22">
        <f>IF(B30="","",I30*Resumen!$D$12)</f>
        <v/>
      </c>
      <c r="K30" s="22">
        <f>IF(B30="","",SUMIF(Compras!$J$8:$J$47,B30,Compras!$M$8:$M$47))</f>
        <v/>
      </c>
      <c r="L30" s="22">
        <f>IF(B30="","",K30-J30)</f>
        <v/>
      </c>
      <c r="M30" s="9" t="n"/>
      <c r="N30" s="22">
        <f>IF(B30="","",IF(L30&lt;0,MAX(ROUND(-L30-N(M30),2),0),0))</f>
        <v/>
      </c>
      <c r="O30" s="37">
        <f>IF(B30="","",IF(AND(C30&lt;&gt;"Sí",K30=0),"Sin reparto",IF(ROUND(L30,2)&gt;0,"Le deben",IF(ROUND(L30,2)&lt;0,IF(N30&lt;=0,"Liquidado","Debe pagar"),"Cuadrado"))))</f>
        <v/>
      </c>
    </row>
    <row r="31">
      <c r="B31" s="30" t="n"/>
      <c r="C31" s="33" t="n"/>
      <c r="D31" s="13" t="n"/>
      <c r="E31" s="13" t="n"/>
      <c r="F31" s="30" t="n"/>
      <c r="G31" s="30" t="n"/>
      <c r="H31" s="21">
        <f>IF(OR(B31="",C31&lt;&gt;"Sí"),0,N(D31)+N(E31))</f>
        <v/>
      </c>
      <c r="I31" s="36">
        <f>IF(OR(B31="",C31&lt;&gt;"Sí"),0,N(D31)+N(E31)*Resumen!$C$9)</f>
        <v/>
      </c>
      <c r="J31" s="22">
        <f>IF(B31="","",I31*Resumen!$D$12)</f>
        <v/>
      </c>
      <c r="K31" s="22">
        <f>IF(B31="","",SUMIF(Compras!$J$8:$J$47,B31,Compras!$M$8:$M$47))</f>
        <v/>
      </c>
      <c r="L31" s="22">
        <f>IF(B31="","",K31-J31)</f>
        <v/>
      </c>
      <c r="M31" s="9" t="n"/>
      <c r="N31" s="22">
        <f>IF(B31="","",IF(L31&lt;0,MAX(ROUND(-L31-N(M31),2),0),0))</f>
        <v/>
      </c>
      <c r="O31" s="37">
        <f>IF(B31="","",IF(AND(C31&lt;&gt;"Sí",K31=0),"Sin reparto",IF(ROUND(L31,2)&gt;0,"Le deben",IF(ROUND(L31,2)&lt;0,IF(N31&lt;=0,"Liquidado","Debe pagar"),"Cuadrado"))))</f>
        <v/>
      </c>
    </row>
    <row r="32">
      <c r="B32" s="30" t="n"/>
      <c r="C32" s="33" t="n"/>
      <c r="D32" s="13" t="n"/>
      <c r="E32" s="13" t="n"/>
      <c r="F32" s="30" t="n"/>
      <c r="G32" s="30" t="n"/>
      <c r="H32" s="21">
        <f>IF(OR(B32="",C32&lt;&gt;"Sí"),0,N(D32)+N(E32))</f>
        <v/>
      </c>
      <c r="I32" s="36">
        <f>IF(OR(B32="",C32&lt;&gt;"Sí"),0,N(D32)+N(E32)*Resumen!$C$9)</f>
        <v/>
      </c>
      <c r="J32" s="22">
        <f>IF(B32="","",I32*Resumen!$D$12)</f>
        <v/>
      </c>
      <c r="K32" s="22">
        <f>IF(B32="","",SUMIF(Compras!$J$8:$J$47,B32,Compras!$M$8:$M$47))</f>
        <v/>
      </c>
      <c r="L32" s="22">
        <f>IF(B32="","",K32-J32)</f>
        <v/>
      </c>
      <c r="M32" s="9" t="n"/>
      <c r="N32" s="22">
        <f>IF(B32="","",IF(L32&lt;0,MAX(ROUND(-L32-N(M32),2),0),0))</f>
        <v/>
      </c>
      <c r="O32" s="37">
        <f>IF(B32="","",IF(AND(C32&lt;&gt;"Sí",K32=0),"Sin reparto",IF(ROUND(L32,2)&gt;0,"Le deben",IF(ROUND(L32,2)&lt;0,IF(N32&lt;=0,"Liquidado","Debe pagar"),"Cuadrado"))))</f>
        <v/>
      </c>
    </row>
    <row r="33">
      <c r="B33" s="30" t="n"/>
      <c r="C33" s="33" t="n"/>
      <c r="D33" s="13" t="n"/>
      <c r="E33" s="13" t="n"/>
      <c r="F33" s="30" t="n"/>
      <c r="G33" s="30" t="n"/>
      <c r="H33" s="21">
        <f>IF(OR(B33="",C33&lt;&gt;"Sí"),0,N(D33)+N(E33))</f>
        <v/>
      </c>
      <c r="I33" s="36">
        <f>IF(OR(B33="",C33&lt;&gt;"Sí"),0,N(D33)+N(E33)*Resumen!$C$9)</f>
        <v/>
      </c>
      <c r="J33" s="22">
        <f>IF(B33="","",I33*Resumen!$D$12)</f>
        <v/>
      </c>
      <c r="K33" s="22">
        <f>IF(B33="","",SUMIF(Compras!$J$8:$J$47,B33,Compras!$M$8:$M$47))</f>
        <v/>
      </c>
      <c r="L33" s="22">
        <f>IF(B33="","",K33-J33)</f>
        <v/>
      </c>
      <c r="M33" s="9" t="n"/>
      <c r="N33" s="22">
        <f>IF(B33="","",IF(L33&lt;0,MAX(ROUND(-L33-N(M33),2),0),0))</f>
        <v/>
      </c>
      <c r="O33" s="37">
        <f>IF(B33="","",IF(AND(C33&lt;&gt;"Sí",K33=0),"Sin reparto",IF(ROUND(L33,2)&gt;0,"Le deben",IF(ROUND(L33,2)&lt;0,IF(N33&lt;=0,"Liquidado","Debe pagar"),"Cuadrado"))))</f>
        <v/>
      </c>
    </row>
    <row r="34">
      <c r="B34" s="30" t="n"/>
      <c r="C34" s="33" t="n"/>
      <c r="D34" s="13" t="n"/>
      <c r="E34" s="13" t="n"/>
      <c r="F34" s="30" t="n"/>
      <c r="G34" s="30" t="n"/>
      <c r="H34" s="21">
        <f>IF(OR(B34="",C34&lt;&gt;"Sí"),0,N(D34)+N(E34))</f>
        <v/>
      </c>
      <c r="I34" s="36">
        <f>IF(OR(B34="",C34&lt;&gt;"Sí"),0,N(D34)+N(E34)*Resumen!$C$9)</f>
        <v/>
      </c>
      <c r="J34" s="22">
        <f>IF(B34="","",I34*Resumen!$D$12)</f>
        <v/>
      </c>
      <c r="K34" s="22">
        <f>IF(B34="","",SUMIF(Compras!$J$8:$J$47,B34,Compras!$M$8:$M$47))</f>
        <v/>
      </c>
      <c r="L34" s="22">
        <f>IF(B34="","",K34-J34)</f>
        <v/>
      </c>
      <c r="M34" s="9" t="n"/>
      <c r="N34" s="22">
        <f>IF(B34="","",IF(L34&lt;0,MAX(ROUND(-L34-N(M34),2),0),0))</f>
        <v/>
      </c>
      <c r="O34" s="37">
        <f>IF(B34="","",IF(AND(C34&lt;&gt;"Sí",K34=0),"Sin reparto",IF(ROUND(L34,2)&gt;0,"Le deben",IF(ROUND(L34,2)&lt;0,IF(N34&lt;=0,"Liquidado","Debe pagar"),"Cuadrado"))))</f>
        <v/>
      </c>
    </row>
    <row r="35">
      <c r="B35" s="30" t="n"/>
      <c r="C35" s="33" t="n"/>
      <c r="D35" s="13" t="n"/>
      <c r="E35" s="13" t="n"/>
      <c r="F35" s="30" t="n"/>
      <c r="G35" s="30" t="n"/>
      <c r="H35" s="21">
        <f>IF(OR(B35="",C35&lt;&gt;"Sí"),0,N(D35)+N(E35))</f>
        <v/>
      </c>
      <c r="I35" s="36">
        <f>IF(OR(B35="",C35&lt;&gt;"Sí"),0,N(D35)+N(E35)*Resumen!$C$9)</f>
        <v/>
      </c>
      <c r="J35" s="22">
        <f>IF(B35="","",I35*Resumen!$D$12)</f>
        <v/>
      </c>
      <c r="K35" s="22">
        <f>IF(B35="","",SUMIF(Compras!$J$8:$J$47,B35,Compras!$M$8:$M$47))</f>
        <v/>
      </c>
      <c r="L35" s="22">
        <f>IF(B35="","",K35-J35)</f>
        <v/>
      </c>
      <c r="M35" s="9" t="n"/>
      <c r="N35" s="22">
        <f>IF(B35="","",IF(L35&lt;0,MAX(ROUND(-L35-N(M35),2),0),0))</f>
        <v/>
      </c>
      <c r="O35" s="37">
        <f>IF(B35="","",IF(AND(C35&lt;&gt;"Sí",K35=0),"Sin reparto",IF(ROUND(L35,2)&gt;0,"Le deben",IF(ROUND(L35,2)&lt;0,IF(N35&lt;=0,"Liquidado","Debe pagar"),"Cuadrado"))))</f>
        <v/>
      </c>
    </row>
    <row r="36">
      <c r="B36" s="30" t="n"/>
      <c r="C36" s="33" t="n"/>
      <c r="D36" s="13" t="n"/>
      <c r="E36" s="13" t="n"/>
      <c r="F36" s="30" t="n"/>
      <c r="G36" s="30" t="n"/>
      <c r="H36" s="21">
        <f>IF(OR(B36="",C36&lt;&gt;"Sí"),0,N(D36)+N(E36))</f>
        <v/>
      </c>
      <c r="I36" s="36">
        <f>IF(OR(B36="",C36&lt;&gt;"Sí"),0,N(D36)+N(E36)*Resumen!$C$9)</f>
        <v/>
      </c>
      <c r="J36" s="22">
        <f>IF(B36="","",I36*Resumen!$D$12)</f>
        <v/>
      </c>
      <c r="K36" s="22">
        <f>IF(B36="","",SUMIF(Compras!$J$8:$J$47,B36,Compras!$M$8:$M$47))</f>
        <v/>
      </c>
      <c r="L36" s="22">
        <f>IF(B36="","",K36-J36)</f>
        <v/>
      </c>
      <c r="M36" s="9" t="n"/>
      <c r="N36" s="22">
        <f>IF(B36="","",IF(L36&lt;0,MAX(ROUND(-L36-N(M36),2),0),0))</f>
        <v/>
      </c>
      <c r="O36" s="37">
        <f>IF(B36="","",IF(AND(C36&lt;&gt;"Sí",K36=0),"Sin reparto",IF(ROUND(L36,2)&gt;0,"Le deben",IF(ROUND(L36,2)&lt;0,IF(N36&lt;=0,"Liquidado","Debe pagar"),"Cuadrado"))))</f>
        <v/>
      </c>
    </row>
    <row r="37">
      <c r="B37" s="30" t="n"/>
      <c r="C37" s="33" t="n"/>
      <c r="D37" s="13" t="n"/>
      <c r="E37" s="13" t="n"/>
      <c r="F37" s="30" t="n"/>
      <c r="G37" s="30" t="n"/>
      <c r="H37" s="21">
        <f>IF(OR(B37="",C37&lt;&gt;"Sí"),0,N(D37)+N(E37))</f>
        <v/>
      </c>
      <c r="I37" s="36">
        <f>IF(OR(B37="",C37&lt;&gt;"Sí"),0,N(D37)+N(E37)*Resumen!$C$9)</f>
        <v/>
      </c>
      <c r="J37" s="22">
        <f>IF(B37="","",I37*Resumen!$D$12)</f>
        <v/>
      </c>
      <c r="K37" s="22">
        <f>IF(B37="","",SUMIF(Compras!$J$8:$J$47,B37,Compras!$M$8:$M$47))</f>
        <v/>
      </c>
      <c r="L37" s="22">
        <f>IF(B37="","",K37-J37)</f>
        <v/>
      </c>
      <c r="M37" s="9" t="n"/>
      <c r="N37" s="22">
        <f>IF(B37="","",IF(L37&lt;0,MAX(ROUND(-L37-N(M37),2),0),0))</f>
        <v/>
      </c>
      <c r="O37" s="37">
        <f>IF(B37="","",IF(AND(C37&lt;&gt;"Sí",K37=0),"Sin reparto",IF(ROUND(L37,2)&gt;0,"Le deben",IF(ROUND(L37,2)&lt;0,IF(N37&lt;=0,"Liquidado","Debe pagar"),"Cuadrado"))))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autoFilter ref="B7:O37"/>
  <mergeCells count="2">
    <mergeCell ref="B3:O3"/>
    <mergeCell ref="B2:O2"/>
  </mergeCells>
  <conditionalFormatting sqref="C8:C37">
    <cfRule type="cellIs" priority="1" operator="equal" dxfId="2">
      <formula>"Sí"</formula>
    </cfRule>
    <cfRule type="cellIs" priority="2" operator="equal" dxfId="3">
      <formula>"No"</formula>
    </cfRule>
    <cfRule type="cellIs" priority="3" operator="equal" dxfId="1">
      <formula>"Pendiente"</formula>
    </cfRule>
  </conditionalFormatting>
  <conditionalFormatting sqref="O8:O37">
    <cfRule type="cellIs" priority="4" operator="equal" dxfId="0">
      <formula>"Debe pagar"</formula>
    </cfRule>
    <cfRule type="cellIs" priority="5" operator="equal" dxfId="4">
      <formula>"Le deben"</formula>
    </cfRule>
    <cfRule type="cellIs" priority="6" operator="equal" dxfId="2">
      <formula>"Liquidado"</formula>
    </cfRule>
    <cfRule type="cellIs" priority="7" operator="equal" dxfId="2">
      <formula>"Cuadrado"</formula>
    </cfRule>
    <cfRule type="cellIs" priority="8" operator="equal" dxfId="3">
      <formula>"Sin reparto"</formula>
    </cfRule>
  </conditionalFormatting>
  <dataValidations count="1">
    <dataValidation sqref="C8:C37" showDropDown="0" showInputMessage="0" showErrorMessage="0" allowBlank="1" type="list">
      <formula1>"Sí,No,Pendiente"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H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2" customWidth="1" min="4" max="4"/>
    <col width="46" customWidth="1" min="5" max="5"/>
    <col width="22" customWidth="1" min="6" max="6"/>
    <col width="12" customWidth="1" min="7" max="7"/>
    <col width="26" customWidth="1" min="8" max="8"/>
  </cols>
  <sheetData>
    <row r="2" ht="34" customHeight="1">
      <c r="B2" s="1" t="inlineStr">
        <is>
          <t>Cronograma de la noche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Hora de inicio y duración de cada momento. Después de medianoche escribe 24:05, 25:00... La hora de fin y los solapes se calculan solos.</t>
        </is>
      </c>
    </row>
    <row r="5">
      <c r="B5" s="29" t="inlineStr">
        <is>
          <t>Fecha:</t>
        </is>
      </c>
      <c r="C5" s="38">
        <f>Resumen!C6</f>
        <v/>
      </c>
      <c r="E5" s="39" t="inlineStr">
        <is>
          <t>Momentos preparados:</t>
        </is>
      </c>
      <c r="F5" s="25">
        <f>COUNTIF(G8:G37,"Sí")</f>
        <v/>
      </c>
    </row>
    <row r="7" ht="30" customHeight="1">
      <c r="B7" s="19" t="inlineStr">
        <is>
          <t>Hora de inicio</t>
        </is>
      </c>
      <c r="C7" s="19" t="inlineStr">
        <is>
          <t>Duración (min)</t>
        </is>
      </c>
      <c r="D7" s="19" t="inlineStr">
        <is>
          <t>Hora de fin</t>
        </is>
      </c>
      <c r="E7" s="19" t="inlineStr">
        <is>
          <t>Actividad</t>
        </is>
      </c>
      <c r="F7" s="19" t="inlineStr">
        <is>
          <t>Responsable</t>
        </is>
      </c>
      <c r="G7" s="19" t="inlineStr">
        <is>
          <t>Preparado</t>
        </is>
      </c>
      <c r="H7" s="19" t="inlineStr">
        <is>
          <t>Estado</t>
        </is>
      </c>
    </row>
    <row r="8">
      <c r="B8" s="40" t="n">
        <v>0.7083333333333334</v>
      </c>
      <c r="C8" s="13" t="n">
        <v>60</v>
      </c>
      <c r="D8" s="41">
        <f>IF(OR(B8="",C8=""),"",B8+C8/1440)</f>
        <v/>
      </c>
      <c r="E8" s="30" t="inlineStr">
        <is>
          <t>Montar la mesa y la decoración</t>
        </is>
      </c>
      <c r="F8" s="30" t="inlineStr">
        <is>
          <t>Irene</t>
        </is>
      </c>
      <c r="G8" s="33" t="inlineStr">
        <is>
          <t>Sí</t>
        </is>
      </c>
      <c r="H8" s="37">
        <f>IF(E8="","",IF(AND(ISNUMBER(D8),ISNUMBER(B9),B9&lt;D8-0.00001),"Solapa con la siguiente",IF(G8="Sí","Preparado","Pendiente")))</f>
        <v/>
      </c>
    </row>
    <row r="9">
      <c r="B9" s="40" t="n">
        <v>0.7708333333333334</v>
      </c>
      <c r="C9" s="13" t="n">
        <v>45</v>
      </c>
      <c r="D9" s="41">
        <f>IF(OR(B9="",C9=""),"",B9+C9/1440)</f>
        <v/>
      </c>
      <c r="E9" s="30" t="inlineStr">
        <is>
          <t>Poner el cava, el vino blanco y el agua a enfriar</t>
        </is>
      </c>
      <c r="F9" s="30" t="inlineStr">
        <is>
          <t>Marcos</t>
        </is>
      </c>
      <c r="G9" s="33" t="inlineStr">
        <is>
          <t>Sí</t>
        </is>
      </c>
      <c r="H9" s="37">
        <f>IF(E9="","",IF(AND(ISNUMBER(D9),ISNUMBER(B10),B10&lt;D9-0.00001),"Solapa con la siguiente",IF(G9="Sí","Preparado","Pendiente")))</f>
        <v/>
      </c>
    </row>
    <row r="10">
      <c r="B10" s="40" t="n">
        <v>0.8125</v>
      </c>
      <c r="C10" s="13" t="n">
        <v>30</v>
      </c>
      <c r="D10" s="41">
        <f>IF(OR(B10="",C10=""),"",B10+C10/1440)</f>
        <v/>
      </c>
      <c r="E10" s="30" t="inlineStr">
        <is>
          <t>Preparar el aperitivo y cortar el jamón</t>
        </is>
      </c>
      <c r="F10" s="30" t="inlineStr">
        <is>
          <t>Carmen</t>
        </is>
      </c>
      <c r="G10" s="33" t="inlineStr">
        <is>
          <t>Sí</t>
        </is>
      </c>
      <c r="H10" s="37">
        <f>IF(E10="","",IF(AND(ISNUMBER(D10),ISNUMBER(B11),B11&lt;D10-0.00001),"Solapa con la siguiente",IF(G10="Sí","Preparado","Pendiente")))</f>
        <v/>
      </c>
    </row>
    <row r="11">
      <c r="B11" s="40" t="n">
        <v>0.8541666666666666</v>
      </c>
      <c r="C11" s="13" t="n">
        <v>30</v>
      </c>
      <c r="D11" s="41">
        <f>IF(OR(B11="",C11=""),"",B11+C11/1440)</f>
        <v/>
      </c>
      <c r="E11" s="30" t="inlineStr">
        <is>
          <t>Llegada de los invitados y bienvenida</t>
        </is>
      </c>
      <c r="F11" s="30" t="inlineStr">
        <is>
          <t>Lucía (anfitriona)</t>
        </is>
      </c>
      <c r="G11" s="33" t="inlineStr">
        <is>
          <t>No</t>
        </is>
      </c>
      <c r="H11" s="37">
        <f>IF(E11="","",IF(AND(ISNUMBER(D11),ISNUMBER(B12),B12&lt;D11-0.00001),"Solapa con la siguiente",IF(G11="Sí","Preparado","Pendiente")))</f>
        <v/>
      </c>
    </row>
    <row r="12">
      <c r="B12" s="40" t="n">
        <v>0.875</v>
      </c>
      <c r="C12" s="13" t="n">
        <v>30</v>
      </c>
      <c r="D12" s="41">
        <f>IF(OR(B12="",C12=""),"",B12+C12/1440)</f>
        <v/>
      </c>
      <c r="E12" s="30" t="inlineStr">
        <is>
          <t>Aperitivo y brindis de bienvenida</t>
        </is>
      </c>
      <c r="F12" s="30" t="inlineStr">
        <is>
          <t>Lucía (anfitriona)</t>
        </is>
      </c>
      <c r="G12" s="33" t="inlineStr">
        <is>
          <t>No</t>
        </is>
      </c>
      <c r="H12" s="37">
        <f>IF(E12="","",IF(AND(ISNUMBER(D12),ISNUMBER(B13),B13&lt;D12-0.00001),"Solapa con la siguiente",IF(G12="Sí","Preparado","Pendiente")))</f>
        <v/>
      </c>
    </row>
    <row r="13">
      <c r="B13" s="40" t="n">
        <v>0.8958333333333334</v>
      </c>
      <c r="C13" s="13" t="n">
        <v>45</v>
      </c>
      <c r="D13" s="41">
        <f>IF(OR(B13="",C13=""),"",B13+C13/1440)</f>
        <v/>
      </c>
      <c r="E13" s="30" t="inlineStr">
        <is>
          <t>Entrantes: langostinos y ensaladilla</t>
        </is>
      </c>
      <c r="F13" s="30" t="inlineStr">
        <is>
          <t>Elena y Pablo</t>
        </is>
      </c>
      <c r="G13" s="33" t="inlineStr">
        <is>
          <t>No</t>
        </is>
      </c>
      <c r="H13" s="37">
        <f>IF(E13="","",IF(AND(ISNUMBER(D13),ISNUMBER(B14),B14&lt;D13-0.00001),"Solapa con la siguiente",IF(G13="Sí","Preparado","Pendiente")))</f>
        <v/>
      </c>
    </row>
    <row r="14">
      <c r="B14" s="40" t="n">
        <v>0.9270833333333334</v>
      </c>
      <c r="C14" s="13" t="n">
        <v>60</v>
      </c>
      <c r="D14" s="41">
        <f>IF(OR(B14="",C14=""),"",B14+C14/1440)</f>
        <v/>
      </c>
      <c r="E14" s="30" t="inlineStr">
        <is>
          <t>Plato principal: solomillo</t>
        </is>
      </c>
      <c r="F14" s="30" t="inlineStr">
        <is>
          <t>Lucía (anfitriona)</t>
        </is>
      </c>
      <c r="G14" s="33" t="inlineStr">
        <is>
          <t>No</t>
        </is>
      </c>
      <c r="H14" s="37">
        <f>IF(E14="","",IF(AND(ISNUMBER(D14),ISNUMBER(B15),B15&lt;D14-0.00001),"Solapa con la siguiente",IF(G14="Sí","Preparado","Pendiente")))</f>
        <v/>
      </c>
    </row>
    <row r="15">
      <c r="B15" s="40" t="n">
        <v>0.96875</v>
      </c>
      <c r="C15" s="13" t="n">
        <v>30</v>
      </c>
      <c r="D15" s="41">
        <f>IF(OR(B15="",C15=""),"",B15+C15/1440)</f>
        <v/>
      </c>
      <c r="E15" s="30" t="inlineStr">
        <is>
          <t>Postre, turrones y tarta</t>
        </is>
      </c>
      <c r="F15" s="30" t="inlineStr">
        <is>
          <t>Carmen</t>
        </is>
      </c>
      <c r="G15" s="33" t="inlineStr">
        <is>
          <t>No</t>
        </is>
      </c>
      <c r="H15" s="37">
        <f>IF(E15="","",IF(AND(ISNUMBER(D15),ISNUMBER(B16),B16&lt;D15-0.00001),"Solapa con la siguiente",IF(G15="Sí","Preparado","Pendiente")))</f>
        <v/>
      </c>
    </row>
    <row r="16">
      <c r="B16" s="40" t="n">
        <v>0.9895833333333334</v>
      </c>
      <c r="C16" s="13" t="n">
        <v>10</v>
      </c>
      <c r="D16" s="41">
        <f>IF(OR(B16="",C16=""),"",B16+C16/1440)</f>
        <v/>
      </c>
      <c r="E16" s="30" t="inlineStr">
        <is>
          <t>Repartir las copas de cava y servir las 12 uvas</t>
        </is>
      </c>
      <c r="F16" s="30" t="inlineStr">
        <is>
          <t>Diego</t>
        </is>
      </c>
      <c r="G16" s="33" t="inlineStr">
        <is>
          <t>No</t>
        </is>
      </c>
      <c r="H16" s="37">
        <f>IF(E16="","",IF(AND(ISNUMBER(D16),ISNUMBER(B17),B17&lt;D16-0.00001),"Solapa con la siguiente",IF(G16="Sí","Preparado","Pendiente")))</f>
        <v/>
      </c>
    </row>
    <row r="17">
      <c r="B17" s="40" t="n">
        <v>0.9965277777777778</v>
      </c>
      <c r="C17" s="13" t="n">
        <v>4</v>
      </c>
      <c r="D17" s="41">
        <f>IF(OR(B17="",C17=""),"",B17+C17/1440)</f>
        <v/>
      </c>
      <c r="E17" s="30" t="inlineStr">
        <is>
          <t>Conectar la tele con las campanadas y bajar las luces</t>
        </is>
      </c>
      <c r="F17" s="30" t="inlineStr">
        <is>
          <t>Javier y Sofía</t>
        </is>
      </c>
      <c r="G17" s="33" t="inlineStr">
        <is>
          <t>No</t>
        </is>
      </c>
      <c r="H17" s="37">
        <f>IF(E17="","",IF(AND(ISNUMBER(D17),ISNUMBER(B18),B18&lt;D17-0.00001),"Solapa con la siguiente",IF(G17="Sí","Preparado","Pendiente")))</f>
        <v/>
      </c>
    </row>
    <row r="18">
      <c r="B18" s="40" t="n">
        <v>0.9993055555555556</v>
      </c>
      <c r="C18" s="13" t="n">
        <v>4</v>
      </c>
      <c r="D18" s="41">
        <f>IF(OR(B18="",C18=""),"",B18+C18/1440)</f>
        <v/>
      </c>
      <c r="E18" s="30" t="inlineStr">
        <is>
          <t>Las 12 campanadas y el brindis de Año Nuevo</t>
        </is>
      </c>
      <c r="F18" s="30" t="inlineStr">
        <is>
          <t>Todos</t>
        </is>
      </c>
      <c r="G18" s="33" t="inlineStr">
        <is>
          <t>No</t>
        </is>
      </c>
      <c r="H18" s="37">
        <f>IF(E18="","",IF(AND(ISNUMBER(D18),ISNUMBER(B19),B19&lt;D18-0.00001),"Solapa con la siguiente",IF(G18="Sí","Preparado","Pendiente")))</f>
        <v/>
      </c>
    </row>
    <row r="19">
      <c r="B19" s="40" t="n">
        <v>1.003472222222222</v>
      </c>
      <c r="C19" s="13" t="n">
        <v>25</v>
      </c>
      <c r="D19" s="41">
        <f>IF(OR(B19="",C19=""),"",B19+C19/1440)</f>
        <v/>
      </c>
      <c r="E19" s="30" t="inlineStr">
        <is>
          <t>Fotos de grupo y felicitaciones</t>
        </is>
      </c>
      <c r="F19" s="30" t="inlineStr">
        <is>
          <t>Irene</t>
        </is>
      </c>
      <c r="G19" s="33" t="inlineStr">
        <is>
          <t>No</t>
        </is>
      </c>
      <c r="H19" s="37">
        <f>IF(E19="","",IF(AND(ISNUMBER(D19),ISNUMBER(B20),B20&lt;D19-0.00001),"Solapa con la siguiente",IF(G19="Sí","Preparado","Pendiente")))</f>
        <v/>
      </c>
    </row>
    <row r="20">
      <c r="B20" s="40" t="n">
        <v>1.020833333333333</v>
      </c>
      <c r="C20" s="13" t="n">
        <v>150</v>
      </c>
      <c r="D20" s="41">
        <f>IF(OR(B20="",C20=""),"",B20+C20/1440)</f>
        <v/>
      </c>
      <c r="E20" s="30" t="inlineStr">
        <is>
          <t>Cotillón, música y baile</t>
        </is>
      </c>
      <c r="F20" s="30" t="inlineStr">
        <is>
          <t>Marcos</t>
        </is>
      </c>
      <c r="G20" s="33" t="inlineStr">
        <is>
          <t>No</t>
        </is>
      </c>
      <c r="H20" s="37">
        <f>IF(E20="","",IF(AND(ISNUMBER(D20),ISNUMBER(B21),B21&lt;D20-0.00001),"Solapa con la siguiente",IF(G20="Sí","Preparado","Pendiente")))</f>
        <v/>
      </c>
    </row>
    <row r="21">
      <c r="B21" s="40" t="n">
        <v>1.125</v>
      </c>
      <c r="C21" s="13" t="n">
        <v>45</v>
      </c>
      <c r="D21" s="41">
        <f>IF(OR(B21="",C21=""),"",B21+C21/1440)</f>
        <v/>
      </c>
      <c r="E21" s="30" t="inlineStr">
        <is>
          <t>Chocolate con churros y recogida</t>
        </is>
      </c>
      <c r="F21" s="30" t="inlineStr">
        <is>
          <t>Lucía (anfitriona)</t>
        </is>
      </c>
      <c r="G21" s="33" t="inlineStr">
        <is>
          <t>No</t>
        </is>
      </c>
      <c r="H21" s="37">
        <f>IF(E21="","",IF(AND(ISNUMBER(D21),ISNUMBER(B22),B22&lt;D21-0.00001),"Solapa con la siguiente",IF(G21="Sí","Preparado","Pendiente")))</f>
        <v/>
      </c>
    </row>
    <row r="22">
      <c r="B22" s="40" t="n"/>
      <c r="C22" s="13" t="n"/>
      <c r="D22" s="41">
        <f>IF(OR(B22="",C22=""),"",B22+C22/1440)</f>
        <v/>
      </c>
      <c r="E22" s="30" t="n"/>
      <c r="F22" s="30" t="n"/>
      <c r="G22" s="33" t="n"/>
      <c r="H22" s="37">
        <f>IF(E22="","",IF(AND(ISNUMBER(D22),ISNUMBER(B23),B23&lt;D22-0.00001),"Solapa con la siguiente",IF(G22="Sí","Preparado","Pendiente")))</f>
        <v/>
      </c>
    </row>
    <row r="23">
      <c r="B23" s="40" t="n"/>
      <c r="C23" s="13" t="n"/>
      <c r="D23" s="41">
        <f>IF(OR(B23="",C23=""),"",B23+C23/1440)</f>
        <v/>
      </c>
      <c r="E23" s="30" t="n"/>
      <c r="F23" s="30" t="n"/>
      <c r="G23" s="33" t="n"/>
      <c r="H23" s="37">
        <f>IF(E23="","",IF(AND(ISNUMBER(D23),ISNUMBER(B24),B24&lt;D23-0.00001),"Solapa con la siguiente",IF(G23="Sí","Preparado","Pendiente")))</f>
        <v/>
      </c>
    </row>
    <row r="24">
      <c r="B24" s="40" t="n"/>
      <c r="C24" s="13" t="n"/>
      <c r="D24" s="41">
        <f>IF(OR(B24="",C24=""),"",B24+C24/1440)</f>
        <v/>
      </c>
      <c r="E24" s="30" t="n"/>
      <c r="F24" s="30" t="n"/>
      <c r="G24" s="33" t="n"/>
      <c r="H24" s="37">
        <f>IF(E24="","",IF(AND(ISNUMBER(D24),ISNUMBER(B25),B25&lt;D24-0.00001),"Solapa con la siguiente",IF(G24="Sí","Preparado","Pendiente")))</f>
        <v/>
      </c>
    </row>
    <row r="25">
      <c r="B25" s="40" t="n"/>
      <c r="C25" s="13" t="n"/>
      <c r="D25" s="41">
        <f>IF(OR(B25="",C25=""),"",B25+C25/1440)</f>
        <v/>
      </c>
      <c r="E25" s="30" t="n"/>
      <c r="F25" s="30" t="n"/>
      <c r="G25" s="33" t="n"/>
      <c r="H25" s="37">
        <f>IF(E25="","",IF(AND(ISNUMBER(D25),ISNUMBER(B26),B26&lt;D25-0.00001),"Solapa con la siguiente",IF(G25="Sí","Preparado","Pendiente")))</f>
        <v/>
      </c>
    </row>
    <row r="26">
      <c r="B26" s="40" t="n"/>
      <c r="C26" s="13" t="n"/>
      <c r="D26" s="41">
        <f>IF(OR(B26="",C26=""),"",B26+C26/1440)</f>
        <v/>
      </c>
      <c r="E26" s="30" t="n"/>
      <c r="F26" s="30" t="n"/>
      <c r="G26" s="33" t="n"/>
      <c r="H26" s="37">
        <f>IF(E26="","",IF(AND(ISNUMBER(D26),ISNUMBER(B27),B27&lt;D26-0.00001),"Solapa con la siguiente",IF(G26="Sí","Preparado","Pendiente")))</f>
        <v/>
      </c>
    </row>
    <row r="27">
      <c r="B27" s="40" t="n"/>
      <c r="C27" s="13" t="n"/>
      <c r="D27" s="41">
        <f>IF(OR(B27="",C27=""),"",B27+C27/1440)</f>
        <v/>
      </c>
      <c r="E27" s="30" t="n"/>
      <c r="F27" s="30" t="n"/>
      <c r="G27" s="33" t="n"/>
      <c r="H27" s="37">
        <f>IF(E27="","",IF(AND(ISNUMBER(D27),ISNUMBER(B28),B28&lt;D27-0.00001),"Solapa con la siguiente",IF(G27="Sí","Preparado","Pendiente")))</f>
        <v/>
      </c>
    </row>
    <row r="28">
      <c r="B28" s="40" t="n"/>
      <c r="C28" s="13" t="n"/>
      <c r="D28" s="41">
        <f>IF(OR(B28="",C28=""),"",B28+C28/1440)</f>
        <v/>
      </c>
      <c r="E28" s="30" t="n"/>
      <c r="F28" s="30" t="n"/>
      <c r="G28" s="33" t="n"/>
      <c r="H28" s="37">
        <f>IF(E28="","",IF(AND(ISNUMBER(D28),ISNUMBER(B29),B29&lt;D28-0.00001),"Solapa con la siguiente",IF(G28="Sí","Preparado","Pendiente")))</f>
        <v/>
      </c>
    </row>
    <row r="29">
      <c r="B29" s="40" t="n"/>
      <c r="C29" s="13" t="n"/>
      <c r="D29" s="41">
        <f>IF(OR(B29="",C29=""),"",B29+C29/1440)</f>
        <v/>
      </c>
      <c r="E29" s="30" t="n"/>
      <c r="F29" s="30" t="n"/>
      <c r="G29" s="33" t="n"/>
      <c r="H29" s="37">
        <f>IF(E29="","",IF(AND(ISNUMBER(D29),ISNUMBER(B30),B30&lt;D29-0.00001),"Solapa con la siguiente",IF(G29="Sí","Preparado","Pendiente")))</f>
        <v/>
      </c>
    </row>
    <row r="30">
      <c r="B30" s="40" t="n"/>
      <c r="C30" s="13" t="n"/>
      <c r="D30" s="41">
        <f>IF(OR(B30="",C30=""),"",B30+C30/1440)</f>
        <v/>
      </c>
      <c r="E30" s="30" t="n"/>
      <c r="F30" s="30" t="n"/>
      <c r="G30" s="33" t="n"/>
      <c r="H30" s="37">
        <f>IF(E30="","",IF(AND(ISNUMBER(D30),ISNUMBER(B31),B31&lt;D30-0.00001),"Solapa con la siguiente",IF(G30="Sí","Preparado","Pendiente")))</f>
        <v/>
      </c>
    </row>
    <row r="31">
      <c r="B31" s="40" t="n"/>
      <c r="C31" s="13" t="n"/>
      <c r="D31" s="41">
        <f>IF(OR(B31="",C31=""),"",B31+C31/1440)</f>
        <v/>
      </c>
      <c r="E31" s="30" t="n"/>
      <c r="F31" s="30" t="n"/>
      <c r="G31" s="33" t="n"/>
      <c r="H31" s="37">
        <f>IF(E31="","",IF(AND(ISNUMBER(D31),ISNUMBER(B32),B32&lt;D31-0.00001),"Solapa con la siguiente",IF(G31="Sí","Preparado","Pendiente")))</f>
        <v/>
      </c>
    </row>
    <row r="32">
      <c r="B32" s="40" t="n"/>
      <c r="C32" s="13" t="n"/>
      <c r="D32" s="41">
        <f>IF(OR(B32="",C32=""),"",B32+C32/1440)</f>
        <v/>
      </c>
      <c r="E32" s="30" t="n"/>
      <c r="F32" s="30" t="n"/>
      <c r="G32" s="33" t="n"/>
      <c r="H32" s="37">
        <f>IF(E32="","",IF(AND(ISNUMBER(D32),ISNUMBER(B33),B33&lt;D32-0.00001),"Solapa con la siguiente",IF(G32="Sí","Preparado","Pendiente")))</f>
        <v/>
      </c>
    </row>
    <row r="33">
      <c r="B33" s="40" t="n"/>
      <c r="C33" s="13" t="n"/>
      <c r="D33" s="41">
        <f>IF(OR(B33="",C33=""),"",B33+C33/1440)</f>
        <v/>
      </c>
      <c r="E33" s="30" t="n"/>
      <c r="F33" s="30" t="n"/>
      <c r="G33" s="33" t="n"/>
      <c r="H33" s="37">
        <f>IF(E33="","",IF(AND(ISNUMBER(D33),ISNUMBER(B34),B34&lt;D33-0.00001),"Solapa con la siguiente",IF(G33="Sí","Preparado","Pendiente")))</f>
        <v/>
      </c>
    </row>
    <row r="34">
      <c r="B34" s="40" t="n"/>
      <c r="C34" s="13" t="n"/>
      <c r="D34" s="41">
        <f>IF(OR(B34="",C34=""),"",B34+C34/1440)</f>
        <v/>
      </c>
      <c r="E34" s="30" t="n"/>
      <c r="F34" s="30" t="n"/>
      <c r="G34" s="33" t="n"/>
      <c r="H34" s="37">
        <f>IF(E34="","",IF(AND(ISNUMBER(D34),ISNUMBER(B35),B35&lt;D34-0.00001),"Solapa con la siguiente",IF(G34="Sí","Preparado","Pendiente")))</f>
        <v/>
      </c>
    </row>
    <row r="35">
      <c r="B35" s="40" t="n"/>
      <c r="C35" s="13" t="n"/>
      <c r="D35" s="41">
        <f>IF(OR(B35="",C35=""),"",B35+C35/1440)</f>
        <v/>
      </c>
      <c r="E35" s="30" t="n"/>
      <c r="F35" s="30" t="n"/>
      <c r="G35" s="33" t="n"/>
      <c r="H35" s="37">
        <f>IF(E35="","",IF(AND(ISNUMBER(D35),ISNUMBER(B36),B36&lt;D35-0.00001),"Solapa con la siguiente",IF(G35="Sí","Preparado","Pendiente")))</f>
        <v/>
      </c>
    </row>
    <row r="36">
      <c r="B36" s="40" t="n"/>
      <c r="C36" s="13" t="n"/>
      <c r="D36" s="41">
        <f>IF(OR(B36="",C36=""),"",B36+C36/1440)</f>
        <v/>
      </c>
      <c r="E36" s="30" t="n"/>
      <c r="F36" s="30" t="n"/>
      <c r="G36" s="33" t="n"/>
      <c r="H36" s="37">
        <f>IF(E36="","",IF(AND(ISNUMBER(D36),ISNUMBER(B37),B37&lt;D36-0.00001),"Solapa con la siguiente",IF(G36="Sí","Preparado","Pendiente")))</f>
        <v/>
      </c>
    </row>
    <row r="37">
      <c r="B37" s="40" t="n"/>
      <c r="C37" s="13" t="n"/>
      <c r="D37" s="41">
        <f>IF(OR(B37="",C37=""),"",B37+C37/1440)</f>
        <v/>
      </c>
      <c r="E37" s="30" t="n"/>
      <c r="F37" s="30" t="n"/>
      <c r="G37" s="33" t="n"/>
      <c r="H37" s="37">
        <f>IF(E37="","",IF(AND(ISNUMBER(D37),ISNUMBER(B38),B38&lt;D37-0.00001),"Solapa con la siguiente",IF(G37="Sí","Preparado","Pendiente")))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H3"/>
    <mergeCell ref="B2:H2"/>
    <mergeCell ref="C5:D5"/>
  </mergeCells>
  <conditionalFormatting sqref="H8:H37">
    <cfRule type="cellIs" priority="1" operator="equal" dxfId="2">
      <formula>"Preparado"</formula>
    </cfRule>
    <cfRule type="cellIs" priority="2" operator="equal" dxfId="1">
      <formula>"Pendiente"</formula>
    </cfRule>
    <cfRule type="cellIs" priority="3" operator="equal" dxfId="0">
      <formula>"Solapa con la siguiente"</formula>
    </cfRule>
  </conditionalFormatting>
  <dataValidations count="2">
    <dataValidation sqref="F8:F37" showDropDown="0" showInputMessage="0" showErrorMessage="0" allowBlank="1" type="list">
      <formula1>=Invitados!$B$8:$B$37</formula1>
    </dataValidation>
    <dataValidation sqref="G8:G37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planificador de Nochevieja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42" t="inlineStr">
        <is>
          <t>1.  En Resumen escribe la fecha de la fiesta, tu presupuesto máximo, el margen de sobrante (10 % por defecto), la cuota de un niño respecto a un adulto y las uvas por persona (12).</t>
        </is>
      </c>
    </row>
    <row r="7" ht="30" customHeight="1">
      <c r="B7" s="42" t="inlineStr">
        <is>
          <t>2.  En Invitados añade una fila por invitación: nombre, respuesta (Sí, No o Pendiente), adultos y niños, dietas o alergias y lo que aporta cada uno.</t>
        </is>
      </c>
    </row>
    <row r="8" ht="30" customHeight="1">
      <c r="B8" s="42" t="inlineStr">
        <is>
          <t>3.  En Compras anota cada artículo (menú, bebidas, uvas, cotillón, decoración, música): su categoría, el precio por unidad y su cantidad.</t>
        </is>
      </c>
    </row>
    <row r="9" ht="30" customHeight="1">
      <c r="B9" s="42" t="inlineStr">
        <is>
          <t>4.  Rellena la cantidad por persona (por ejemplo 0,15 kg de langostinos) o, si no depende de los comensales, la cantidad fija (una tarta, un altavoz).</t>
        </is>
      </c>
    </row>
    <row r="10" ht="30" customHeight="1">
      <c r="B10" s="42" t="inlineStr">
        <is>
          <t>5.  La plantilla calcula la cantidad a comprar con las personas confirmadas y el margen de sobrante. Las unidades y botellas se redondean hacia arriba.</t>
        </is>
      </c>
    </row>
    <row r="11" ht="30" customHeight="1">
      <c r="B11" s="42" t="inlineStr">
        <is>
          <t>6.  Elige en "Pagado por" quién adelanta cada compra. Cuando compres, marca Sí en Comprado y apunta el coste real del ticket si difiere del estimado.</t>
        </is>
      </c>
    </row>
    <row r="12" ht="30" customHeight="1">
      <c r="B12" s="42" t="inlineStr">
        <is>
          <t>7.  En Invitados verás la cuota de cada uno, lo que adelanta y su saldo: negativo significa que debe pagar; positivo, que le deben. Apunta lo que ya ha enviado cada uno.</t>
        </is>
      </c>
    </row>
    <row r="13" ht="30" customHeight="1">
      <c r="B13" s="42" t="inlineStr">
        <is>
          <t>8.  En Cronograma escribe la hora de inicio y la duración de cada momento de la noche (hasta las 12 uvas). Después de medianoche usa 24:05, 25:00...</t>
        </is>
      </c>
    </row>
    <row r="14" ht="30" customHeight="1">
      <c r="B14" s="42" t="inlineStr">
        <is>
          <t>9.  Revisa el Resumen: coste por persona, disponible, granos de uva, pendiente de cobrar, tareas preparadas y solapes en el horario.</t>
        </is>
      </c>
    </row>
    <row r="16">
      <c r="B16" s="4" t="inlineStr">
        <is>
          <t>CONSEJOS</t>
        </is>
      </c>
    </row>
    <row r="17" ht="30" customHeight="1">
      <c r="B17" s="42" t="inlineStr">
        <is>
          <t>•  Los platos, cantidades, precios e invitados de ejemplo son ficticios y orientativos: cámbialos por tus datos.</t>
        </is>
      </c>
    </row>
    <row r="18" ht="30" customHeight="1">
      <c r="B18" s="42" t="inlineStr">
        <is>
          <t>•  Los niños cuentan como una persona completa para la comida y como el porcentaje que indiques (50 %) para el reparto del gasto.</t>
        </is>
      </c>
    </row>
    <row r="19" ht="30" customHeight="1">
      <c r="B19" s="42" t="inlineStr">
        <is>
          <t>•  Si una compra no tiene pagador, aparece un aviso rojo de control en Resumen: asígnale a alguien en la columna "Pagado por".</t>
        </is>
      </c>
    </row>
    <row r="20" ht="30" customHeight="1">
      <c r="B20" s="42" t="inlineStr">
        <is>
          <t>•  El reparto usa el coste vigente: el coste real del ticket cuando lo has escrito y, si no, el estimado.</t>
        </is>
      </c>
    </row>
    <row r="21" ht="30" customHeight="1">
      <c r="B21" s="42" t="inlineStr">
        <is>
          <t>•  Las hojas están protegidas sin contraseña: solo se editan las celdas crema (Revisión &gt; Desproteger hoja para personalizar).</t>
        </is>
      </c>
    </row>
    <row r="22" ht="30" customHeight="1">
      <c r="B22" s="42" t="inlineStr">
        <is>
          <t>•  Para más de 40 artículos o 30 invitados o momentos, desprotege la hoja, copia la última fila y amplía los rangos de las fórmulas.</t>
        </is>
      </c>
    </row>
    <row r="24">
      <c r="B24" s="28" t="inlineStr">
        <is>
          <t>Las celdas con fondo crema y texto azul son para rellenar; las verdes se calculan solas.</t>
        </is>
      </c>
    </row>
    <row r="26" ht="44" customHeight="1">
      <c r="B26" s="43" t="inlineStr">
        <is>
          <t>Las cantidades por persona y los precios son orientativos. Revisa las alergias e intolerancias de tus invitados y, si hay niños pequeños, ten especial cuidado con las uvas (conviene quitarles las pepitas y partirlas) y con los frutos secos. Consume alcohol con moderación.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Unidad</t>
        </is>
      </c>
      <c r="C1" t="inlineStr">
        <is>
          <t>Sí/No</t>
        </is>
      </c>
      <c r="D1" t="inlineStr">
        <is>
          <t>Confirmado</t>
        </is>
      </c>
    </row>
    <row r="2">
      <c r="A2" t="inlineStr">
        <is>
          <t>Aperitivo</t>
        </is>
      </c>
      <c r="B2" t="inlineStr">
        <is>
          <t>kg</t>
        </is>
      </c>
      <c r="C2" t="inlineStr">
        <is>
          <t>Sí</t>
        </is>
      </c>
      <c r="D2" t="inlineStr">
        <is>
          <t>Sí</t>
        </is>
      </c>
    </row>
    <row r="3">
      <c r="A3" t="inlineStr">
        <is>
          <t>Entrante</t>
        </is>
      </c>
      <c r="B3" t="inlineStr">
        <is>
          <t>l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Plato principal</t>
        </is>
      </c>
      <c r="B4" t="inlineStr">
        <is>
          <t>ud</t>
        </is>
      </c>
      <c r="D4" t="inlineStr">
        <is>
          <t>Pendiente</t>
        </is>
      </c>
    </row>
    <row r="5">
      <c r="A5" t="inlineStr">
        <is>
          <t>Postre</t>
        </is>
      </c>
      <c r="B5" t="inlineStr">
        <is>
          <t>botella</t>
        </is>
      </c>
    </row>
    <row r="6">
      <c r="A6" t="inlineStr">
        <is>
          <t>Bebidas</t>
        </is>
      </c>
    </row>
    <row r="7">
      <c r="A7" t="inlineStr">
        <is>
          <t>Uvas y cotillón</t>
        </is>
      </c>
    </row>
    <row r="8">
      <c r="A8" t="inlineStr">
        <is>
          <t>Decoración</t>
        </is>
      </c>
    </row>
    <row r="9">
      <c r="A9" t="inlineStr">
        <is>
          <t>Música y ambiente</t>
        </is>
      </c>
    </row>
    <row r="10">
      <c r="A10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2026-10-03T09:39:40Z</dcterms:created>
  <dcterms:modified xmlns:dcterms="http://purl.org/dc/terms/" xmlns:xsi="http://www.w3.org/2001/XMLSchema-instance" xsi:type="dcterms:W3CDTF">2026-10-03T09:39:40Z</dcterms:modified>
</cp:coreProperties>
</file>