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artidas" sheetId="2" state="visible" r:id="rId2"/>
    <sheet xmlns:r="http://schemas.openxmlformats.org/officeDocument/2006/relationships" name="Ahorro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yyyy-mm-dd"/>
    <numFmt numFmtId="166" formatCode="dd/mm/yyyy"/>
    <numFmt numFmtId="167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164" fontId="10" fillId="6" borderId="0" applyAlignment="1" pivotButton="0" quotePrefix="0" xfId="0">
      <alignment horizontal="center" vertical="center"/>
    </xf>
    <xf numFmtId="1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7" fillId="5" borderId="1" applyAlignment="1" applyProtection="1" pivotButton="0" quotePrefix="0" xfId="0">
      <alignment horizontal="center" vertical="center"/>
      <protection locked="0" hidden="0"/>
    </xf>
    <xf numFmtId="1" fontId="4" fillId="0" borderId="1" applyAlignment="1" pivotButton="0" quotePrefix="0" xfId="0">
      <alignment horizontal="center" vertical="center"/>
    </xf>
    <xf numFmtId="166" fontId="7" fillId="5" borderId="1" applyAlignment="1" applyProtection="1" pivotButton="0" quotePrefix="0" xfId="0">
      <alignment horizontal="center" vertical="center"/>
      <protection locked="0" hidden="0"/>
    </xf>
    <xf numFmtId="1" fontId="7" fillId="5" borderId="1" applyAlignment="1" applyProtection="1" pivotButton="0" quotePrefix="0" xfId="0">
      <alignment horizontal="center" vertical="center"/>
      <protection locked="0" hidden="0"/>
    </xf>
    <xf numFmtId="164" fontId="4" fillId="0" borderId="1" applyAlignment="1" pivotButton="0" quotePrefix="0" xfId="0">
      <alignment horizontal="center" vertical="center"/>
    </xf>
    <xf numFmtId="17" fontId="7" fillId="5" borderId="1" applyAlignment="1" applyProtection="1" pivotButton="0" quotePrefix="0" xfId="0">
      <alignment horizontal="center" vertical="center"/>
      <protection locked="0" hidden="0"/>
    </xf>
    <xf numFmtId="164" fontId="7" fillId="5" borderId="1" applyAlignment="1" applyProtection="1" pivotButton="0" quotePrefix="0" xfId="0">
      <alignment horizontal="center" vertical="center"/>
      <protection locked="0" hidden="0"/>
    </xf>
    <xf numFmtId="9" fontId="7" fillId="5" borderId="1" applyAlignment="1" applyProtection="1" pivotButton="0" quotePrefix="0" xfId="0">
      <alignment horizontal="center" vertical="center"/>
      <protection locked="0" hidden="0"/>
    </xf>
    <xf numFmtId="9" fontId="4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7" fillId="5" borderId="1" applyAlignment="1" applyProtection="1" pivotButton="0" quotePrefix="0" xfId="0">
      <alignment vertical="center"/>
      <protection locked="0" hidden="0"/>
    </xf>
    <xf numFmtId="164" fontId="8" fillId="0" borderId="1" applyAlignment="1" pivotButton="0" quotePrefix="0" xfId="0">
      <alignment vertical="center"/>
    </xf>
    <xf numFmtId="167" fontId="8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164" fontId="5" fillId="3" borderId="1" applyAlignment="1" pivotButton="0" quotePrefix="0" xfId="0">
      <alignment vertical="center"/>
    </xf>
    <xf numFmtId="167" fontId="5" fillId="3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4" fontId="7" fillId="5" borderId="1" applyAlignment="1" applyProtection="1" pivotButton="0" quotePrefix="0" xfId="0">
      <alignment horizontal="right" vertical="center"/>
      <protection locked="0" hidden="0"/>
    </xf>
    <xf numFmtId="164" fontId="4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7" fontId="8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Estimado y previsión final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'Panel'!$B$23:$B$28</f>
            </numRef>
          </cat>
          <val>
            <numRef>
              <f>'Panel'!$C$23:$C$28</f>
            </numRef>
          </val>
        </ser>
        <ser>
          <idx val="1"/>
          <order val="1"/>
          <tx>
            <strRef>
              <f>'Panel'!D22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'Panel'!$B$23:$B$28</f>
            </numRef>
          </cat>
          <val>
            <numRef>
              <f>'Panel'!$D$23:$D$28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31</row>
      <rowOff>0</rowOff>
    </from>
    <ext cx="72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3" customWidth="1" min="10" max="10"/>
  </cols>
  <sheetData>
    <row r="2" ht="34" customHeight="1">
      <c r="B2" s="1" t="inlineStr">
        <is>
          <t>Presupuesto de vacaciones en familia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automático: cuánto costará el viaje, cuánto cuesta por persona y cuánto tienes que ahorrar cada mes hasta la salida.</t>
        </is>
      </c>
    </row>
    <row r="5" ht="30" customHeight="1">
      <c r="B5" s="4" t="inlineStr">
        <is>
          <t>COSTE ESTIMADO TOTAL</t>
        </is>
      </c>
      <c r="D5" s="4" t="inlineStr">
        <is>
          <t>PREVISIÓN FINAL (REAL + ESTIMADO)</t>
        </is>
      </c>
      <c r="F5" s="4" t="inlineStr">
        <is>
          <t>OBJETIVO DE AHORRO (CON MARGEN)</t>
        </is>
      </c>
      <c r="H5" s="4" t="inlineStr">
        <is>
          <t>COSTE POR PERSONA</t>
        </is>
      </c>
    </row>
    <row r="6" ht="34" customHeight="1">
      <c r="B6" s="5">
        <f>SUM(Partidas!G8:G47)</f>
        <v/>
      </c>
      <c r="D6" s="5">
        <f>SUM(Partidas!I8:I47)</f>
        <v/>
      </c>
      <c r="F6" s="5">
        <f>D6*(1+C19)</f>
        <v/>
      </c>
      <c r="H6" s="5">
        <f>IF(I12=0,0,D6/I12)</f>
        <v/>
      </c>
    </row>
    <row r="8" ht="30" customHeight="1">
      <c r="B8" s="4" t="inlineStr">
        <is>
          <t>AHORRO MENSUAL NECESARIO</t>
        </is>
      </c>
      <c r="D8" s="4" t="inlineStr">
        <is>
          <t>AHORRADO HASTA AHORA</t>
        </is>
      </c>
      <c r="F8" s="4" t="inlineStr">
        <is>
          <t>FALTA POR AHORRAR</t>
        </is>
      </c>
      <c r="H8" s="4" t="inlineStr">
        <is>
          <t>DÍAS PARA LA SALIDA</t>
        </is>
      </c>
    </row>
    <row r="9" ht="34" customHeight="1">
      <c r="B9" s="5">
        <f>IF(I15=0,0,MAX(0,F6-C18)/I15)</f>
        <v/>
      </c>
      <c r="D9" s="5">
        <f>C18+SUM(Ahorro!D8:D43)</f>
        <v/>
      </c>
      <c r="F9" s="5">
        <f>MAX(0,F6-D9)</f>
        <v/>
      </c>
      <c r="H9" s="6">
        <f>IF(C13="",0,MAX(0,C13-TODAY()))</f>
        <v/>
      </c>
    </row>
    <row r="11">
      <c r="B11" s="7" t="inlineStr">
        <is>
          <t>DATOS DEL VIAJE Y DEL AHORRO</t>
        </is>
      </c>
    </row>
    <row r="12">
      <c r="B12" s="8" t="inlineStr">
        <is>
          <t>Destino</t>
        </is>
      </c>
      <c r="C12" s="9" t="inlineStr">
        <is>
          <t>Costa mediterránea</t>
        </is>
      </c>
      <c r="E12" s="8" t="inlineStr">
        <is>
          <t>Personas que viajan</t>
        </is>
      </c>
      <c r="I12" s="10">
        <f>C15+C16</f>
        <v/>
      </c>
    </row>
    <row r="13">
      <c r="B13" s="8" t="inlineStr">
        <is>
          <t>Fecha de salida</t>
        </is>
      </c>
      <c r="C13" s="11" t="n">
        <v>46600</v>
      </c>
      <c r="E13" s="8" t="inlineStr">
        <is>
          <t>Días de viaje</t>
        </is>
      </c>
      <c r="I13" s="10">
        <f>IF(OR(C13="",C14=""),0,MAX(1,C14-C13+1))</f>
        <v/>
      </c>
    </row>
    <row r="14">
      <c r="B14" s="8" t="inlineStr">
        <is>
          <t>Fecha de regreso</t>
        </is>
      </c>
      <c r="C14" s="11" t="n">
        <v>46609</v>
      </c>
      <c r="E14" s="8" t="inlineStr">
        <is>
          <t>Noches</t>
        </is>
      </c>
      <c r="I14" s="10">
        <f>MAX(0,I13-1)</f>
        <v/>
      </c>
    </row>
    <row r="15">
      <c r="B15" s="8" t="inlineStr">
        <is>
          <t>Adultos</t>
        </is>
      </c>
      <c r="C15" s="12" t="n">
        <v>2</v>
      </c>
      <c r="E15" s="8" t="inlineStr">
        <is>
          <t>Meses de ahorro hasta la salida</t>
        </is>
      </c>
      <c r="I15" s="10">
        <f>IF(OR(C13="",C17=""),1,MAX(1,MIN(36,(YEAR(C13)-YEAR(C17))*12+MONTH(C13)-MONTH(C17))))</f>
        <v/>
      </c>
    </row>
    <row r="16">
      <c r="B16" s="8" t="inlineStr">
        <is>
          <t>Niños</t>
        </is>
      </c>
      <c r="C16" s="12" t="n">
        <v>2</v>
      </c>
      <c r="E16" s="8" t="inlineStr">
        <is>
          <t>Coste por persona y día</t>
        </is>
      </c>
      <c r="I16" s="13">
        <f>IF(I12*I13=0,0,D6/(I12*I13))</f>
        <v/>
      </c>
    </row>
    <row r="17">
      <c r="B17" s="8" t="inlineStr">
        <is>
          <t>Mes en que empiezas a ahorrar</t>
        </is>
      </c>
      <c r="C17" s="14" t="n">
        <v>46296</v>
      </c>
      <c r="E17" s="8" t="inlineStr">
        <is>
          <t>Meses con aportación registrada</t>
        </is>
      </c>
      <c r="I17" s="10">
        <f>COUNT(Ahorro!D8:D43)</f>
        <v/>
      </c>
    </row>
    <row r="18">
      <c r="B18" s="8" t="inlineStr">
        <is>
          <t>Ahorro ya reservado para el viaje (€)</t>
        </is>
      </c>
      <c r="C18" s="15" t="n">
        <v>500</v>
      </c>
      <c r="E18" s="8" t="inlineStr">
        <is>
          <t>Cuota mensual recalculada (lo que falta)</t>
        </is>
      </c>
      <c r="I18" s="13">
        <f>IF(F9=0,0,F9/MAX(1,I15-I17))</f>
        <v/>
      </c>
    </row>
    <row r="19">
      <c r="B19" s="8" t="inlineStr">
        <is>
          <t>Margen de imprevistos (%)</t>
        </is>
      </c>
      <c r="C19" s="16" t="n">
        <v>0.1</v>
      </c>
      <c r="E19" s="8" t="inlineStr">
        <is>
          <t>% del objetivo ya ahorrado</t>
        </is>
      </c>
      <c r="I19" s="17">
        <f>IF(F6=0,0,MIN(1,D9/F6))</f>
        <v/>
      </c>
    </row>
    <row r="21">
      <c r="B21" s="7" t="inlineStr">
        <is>
          <t>COSTE POR CATEGORÍA</t>
        </is>
      </c>
    </row>
    <row r="22" ht="30" customHeight="1">
      <c r="B22" s="18" t="inlineStr">
        <is>
          <t>Categoría</t>
        </is>
      </c>
      <c r="C22" s="18" t="inlineStr">
        <is>
          <t>Estimado</t>
        </is>
      </c>
      <c r="D22" s="18" t="inlineStr">
        <is>
          <t>Previsión final</t>
        </is>
      </c>
      <c r="E22" s="18" t="inlineStr">
        <is>
          <t>Gastado (real)</t>
        </is>
      </c>
      <c r="F22" s="18" t="inlineStr">
        <is>
          <t>% del total</t>
        </is>
      </c>
      <c r="G22" s="18" t="inlineStr">
        <is>
          <t>Por persona</t>
        </is>
      </c>
      <c r="H22" s="18" t="inlineStr">
        <is>
          <t>Por día</t>
        </is>
      </c>
    </row>
    <row r="23">
      <c r="B23" s="19" t="inlineStr">
        <is>
          <t>Transporte</t>
        </is>
      </c>
      <c r="C23" s="20">
        <f>SUMIF(Partidas!$C$8:$C$47,B23,Partidas!$G$8:$G$47)</f>
        <v/>
      </c>
      <c r="D23" s="20">
        <f>SUMIF(Partidas!$C$8:$C$47,B23,Partidas!$I$8:$I$47)</f>
        <v/>
      </c>
      <c r="E23" s="20">
        <f>SUMIF(Partidas!$C$8:$C$47,B23,Partidas!$H$8:$H$47)</f>
        <v/>
      </c>
      <c r="F23" s="21">
        <f>IF($D$29=0,0,D23/$D$29)</f>
        <v/>
      </c>
      <c r="G23" s="20">
        <f>IF($I$12=0,0,D23/$I$12)</f>
        <v/>
      </c>
      <c r="H23" s="20">
        <f>IF($I$13=0,0,D23/$I$13)</f>
        <v/>
      </c>
    </row>
    <row r="24">
      <c r="B24" s="19" t="inlineStr">
        <is>
          <t>Alojamiento</t>
        </is>
      </c>
      <c r="C24" s="20">
        <f>SUMIF(Partidas!$C$8:$C$47,B24,Partidas!$G$8:$G$47)</f>
        <v/>
      </c>
      <c r="D24" s="20">
        <f>SUMIF(Partidas!$C$8:$C$47,B24,Partidas!$I$8:$I$47)</f>
        <v/>
      </c>
      <c r="E24" s="20">
        <f>SUMIF(Partidas!$C$8:$C$47,B24,Partidas!$H$8:$H$47)</f>
        <v/>
      </c>
      <c r="F24" s="21">
        <f>IF($D$29=0,0,D24/$D$29)</f>
        <v/>
      </c>
      <c r="G24" s="20">
        <f>IF($I$12=0,0,D24/$I$12)</f>
        <v/>
      </c>
      <c r="H24" s="20">
        <f>IF($I$13=0,0,D24/$I$13)</f>
        <v/>
      </c>
    </row>
    <row r="25">
      <c r="B25" s="19" t="inlineStr">
        <is>
          <t>Comidas</t>
        </is>
      </c>
      <c r="C25" s="20">
        <f>SUMIF(Partidas!$C$8:$C$47,B25,Partidas!$G$8:$G$47)</f>
        <v/>
      </c>
      <c r="D25" s="20">
        <f>SUMIF(Partidas!$C$8:$C$47,B25,Partidas!$I$8:$I$47)</f>
        <v/>
      </c>
      <c r="E25" s="20">
        <f>SUMIF(Partidas!$C$8:$C$47,B25,Partidas!$H$8:$H$47)</f>
        <v/>
      </c>
      <c r="F25" s="21">
        <f>IF($D$29=0,0,D25/$D$29)</f>
        <v/>
      </c>
      <c r="G25" s="20">
        <f>IF($I$12=0,0,D25/$I$12)</f>
        <v/>
      </c>
      <c r="H25" s="20">
        <f>IF($I$13=0,0,D25/$I$13)</f>
        <v/>
      </c>
    </row>
    <row r="26">
      <c r="B26" s="19" t="inlineStr">
        <is>
          <t>Actividades</t>
        </is>
      </c>
      <c r="C26" s="20">
        <f>SUMIF(Partidas!$C$8:$C$47,B26,Partidas!$G$8:$G$47)</f>
        <v/>
      </c>
      <c r="D26" s="20">
        <f>SUMIF(Partidas!$C$8:$C$47,B26,Partidas!$I$8:$I$47)</f>
        <v/>
      </c>
      <c r="E26" s="20">
        <f>SUMIF(Partidas!$C$8:$C$47,B26,Partidas!$H$8:$H$47)</f>
        <v/>
      </c>
      <c r="F26" s="21">
        <f>IF($D$29=0,0,D26/$D$29)</f>
        <v/>
      </c>
      <c r="G26" s="20">
        <f>IF($I$12=0,0,D26/$I$12)</f>
        <v/>
      </c>
      <c r="H26" s="20">
        <f>IF($I$13=0,0,D26/$I$13)</f>
        <v/>
      </c>
    </row>
    <row r="27">
      <c r="B27" s="19" t="inlineStr">
        <is>
          <t>Niños</t>
        </is>
      </c>
      <c r="C27" s="20">
        <f>SUMIF(Partidas!$C$8:$C$47,B27,Partidas!$G$8:$G$47)</f>
        <v/>
      </c>
      <c r="D27" s="20">
        <f>SUMIF(Partidas!$C$8:$C$47,B27,Partidas!$I$8:$I$47)</f>
        <v/>
      </c>
      <c r="E27" s="20">
        <f>SUMIF(Partidas!$C$8:$C$47,B27,Partidas!$H$8:$H$47)</f>
        <v/>
      </c>
      <c r="F27" s="21">
        <f>IF($D$29=0,0,D27/$D$29)</f>
        <v/>
      </c>
      <c r="G27" s="20">
        <f>IF($I$12=0,0,D27/$I$12)</f>
        <v/>
      </c>
      <c r="H27" s="20">
        <f>IF($I$13=0,0,D27/$I$13)</f>
        <v/>
      </c>
    </row>
    <row r="28">
      <c r="B28" s="19" t="inlineStr">
        <is>
          <t>Otros</t>
        </is>
      </c>
      <c r="C28" s="20">
        <f>SUMIF(Partidas!$C$8:$C$47,B28,Partidas!$G$8:$G$47)</f>
        <v/>
      </c>
      <c r="D28" s="20">
        <f>SUMIF(Partidas!$C$8:$C$47,B28,Partidas!$I$8:$I$47)</f>
        <v/>
      </c>
      <c r="E28" s="20">
        <f>SUMIF(Partidas!$C$8:$C$47,B28,Partidas!$H$8:$H$47)</f>
        <v/>
      </c>
      <c r="F28" s="21">
        <f>IF($D$29=0,0,D28/$D$29)</f>
        <v/>
      </c>
      <c r="G28" s="20">
        <f>IF($I$12=0,0,D28/$I$12)</f>
        <v/>
      </c>
      <c r="H28" s="20">
        <f>IF($I$13=0,0,D28/$I$13)</f>
        <v/>
      </c>
    </row>
    <row r="29">
      <c r="B29" s="22" t="inlineStr">
        <is>
          <t>Total</t>
        </is>
      </c>
      <c r="C29" s="23">
        <f>SUM(C23:C28)</f>
        <v/>
      </c>
      <c r="D29" s="23">
        <f>SUM(D23:D28)</f>
        <v/>
      </c>
      <c r="E29" s="23">
        <f>SUM(E23:E28)</f>
        <v/>
      </c>
      <c r="F29" s="24">
        <f>SUM(F23:F28)</f>
        <v/>
      </c>
      <c r="G29" s="23">
        <f>SUM(G23:G28)</f>
        <v/>
      </c>
      <c r="H29" s="23">
        <f>SUM(H23:H28)</f>
        <v/>
      </c>
    </row>
    <row r="30">
      <c r="B30" s="25" t="inlineStr">
        <is>
          <t>Partidas sin categoría (revisa la hoja Partidas)</t>
        </is>
      </c>
      <c r="D30" s="20">
        <f>ROUND(D6-D29,2)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  <mergeCell ref="H8:I8"/>
    <mergeCell ref="B9:C9"/>
    <mergeCell ref="D9:E9"/>
    <mergeCell ref="B8:C8"/>
    <mergeCell ref="H9:I9"/>
    <mergeCell ref="F9:G9"/>
    <mergeCell ref="F8:G8"/>
  </mergeCells>
  <conditionalFormatting sqref="F9:G9">
    <cfRule type="expression" priority="1" dxfId="0">
      <formula>$F$9&gt;0</formula>
    </cfRule>
  </conditionalFormatting>
  <conditionalFormatting sqref="I19">
    <cfRule type="dataBar" priority="2">
      <dataBar>
        <cfvo type="num" val="0"/>
        <cfvo type="max"/>
        <color rgb="0010B981"/>
      </dataBar>
    </cfRule>
  </conditionalFormatting>
  <conditionalFormatting sqref="D30">
    <cfRule type="expression" priority="3" dxfId="0">
      <formula>$D$30&lt;&gt;0</formula>
    </cfRule>
  </conditionalFormatting>
  <conditionalFormatting sqref="D23:D28">
    <cfRule type="dataBar" priority="4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L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14" customWidth="1" min="3" max="3"/>
    <col width="12" customWidth="1" min="4" max="4"/>
    <col width="18" customWidth="1" min="5" max="5"/>
    <col width="13" customWidth="1" min="6" max="6"/>
    <col width="14" customWidth="1" min="7" max="7"/>
    <col width="14" customWidth="1" min="8" max="8"/>
    <col width="15" customWidth="1" min="9" max="9"/>
    <col width="14" customWidth="1" min="10" max="10"/>
    <col width="16" customWidth="1" min="11" max="11"/>
    <col width="32" customWidth="1" min="12" max="12"/>
  </cols>
  <sheetData>
    <row r="2" ht="34" customHeight="1">
      <c r="B2" s="1" t="inlineStr">
        <is>
          <t>Partidas del viaje: estimado frente a real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Una fila por gasto. Elige el tipo de coste (fijo, por persona, por día...) y la plantilla calcula el estimado; cuando pagues de verdad, apunta el real.</t>
        </is>
      </c>
    </row>
    <row r="5">
      <c r="B5" s="26" t="inlineStr">
        <is>
          <t>Personas / días / noches:</t>
        </is>
      </c>
      <c r="C5" s="10">
        <f>Panel!I12</f>
        <v/>
      </c>
      <c r="D5" s="10">
        <f>Panel!I13</f>
        <v/>
      </c>
      <c r="E5" s="10">
        <f>Panel!I14</f>
        <v/>
      </c>
      <c r="F5" s="26" t="inlineStr">
        <is>
          <t>TOTALES:</t>
        </is>
      </c>
      <c r="G5" s="23">
        <f>SUM(G8:G47)</f>
        <v/>
      </c>
      <c r="H5" s="23">
        <f>SUM(H8:H47)</f>
        <v/>
      </c>
      <c r="I5" s="23">
        <f>SUM(I8:I47)</f>
        <v/>
      </c>
    </row>
    <row r="7" ht="48" customHeight="1">
      <c r="B7" s="18" t="inlineStr">
        <is>
          <t>Partida</t>
        </is>
      </c>
      <c r="C7" s="18" t="inlineStr">
        <is>
          <t>Categoría</t>
        </is>
      </c>
      <c r="D7" s="18" t="inlineStr">
        <is>
          <t>Aplica a</t>
        </is>
      </c>
      <c r="E7" s="18" t="inlineStr">
        <is>
          <t>Tipo de coste</t>
        </is>
      </c>
      <c r="F7" s="18" t="inlineStr">
        <is>
          <t>Importe unitario (€)</t>
        </is>
      </c>
      <c r="G7" s="18" t="inlineStr">
        <is>
          <t>Estimado</t>
        </is>
      </c>
      <c r="H7" s="18" t="inlineStr">
        <is>
          <t>Real (ya pagado o confirmado)</t>
        </is>
      </c>
      <c r="I7" s="18" t="inlineStr">
        <is>
          <t>Previsión final</t>
        </is>
      </c>
      <c r="J7" s="18" t="inlineStr">
        <is>
          <t>Diferencia (real − estimado)</t>
        </is>
      </c>
      <c r="K7" s="18" t="inlineStr">
        <is>
          <t>Estado</t>
        </is>
      </c>
      <c r="L7" s="18" t="inlineStr">
        <is>
          <t>Notas</t>
        </is>
      </c>
    </row>
    <row r="8">
      <c r="B8" s="19" t="inlineStr">
        <is>
          <t>Gasolina ida y vuelta</t>
        </is>
      </c>
      <c r="C8" s="9" t="inlineStr">
        <is>
          <t>Transporte</t>
        </is>
      </c>
      <c r="D8" s="9" t="inlineStr">
        <is>
          <t>Todos</t>
        </is>
      </c>
      <c r="E8" s="9" t="inlineStr">
        <is>
          <t>Fijo</t>
        </is>
      </c>
      <c r="F8" s="27" t="n">
        <v>190</v>
      </c>
      <c r="G8" s="28">
        <f>IF(OR(B8="",F8=""),"",F8*IF(E8="Por persona",IF(D8="Adultos",Panel!$C$15,IF(D8="Niños",Panel!$C$16,Panel!$I$12)),IF(E8="Por persona y día",IF(D8="Adultos",Panel!$C$15,IF(D8="Niños",Panel!$C$16,Panel!$I$12))*Panel!$I$13,IF(E8="Por día",Panel!$I$13,IF(E8="Por noche",Panel!$I$14,1)))))</f>
        <v/>
      </c>
      <c r="H8" s="27" t="n">
        <v>205</v>
      </c>
      <c r="I8" s="28">
        <f>IF(B8="","",IF(H8="",N(G8),H8))</f>
        <v/>
      </c>
      <c r="J8" s="20">
        <f>IF(OR(B8="",H8=""),"",H8-N(G8))</f>
        <v/>
      </c>
      <c r="K8" s="29">
        <f>IF(B8="","",IF(H8="","Pendiente",IF(H8&gt;N(G8),"Excedido","En presupuesto")))</f>
        <v/>
      </c>
      <c r="L8" s="19" t="inlineStr">
        <is>
          <t>Unos 1.100 km en total</t>
        </is>
      </c>
    </row>
    <row r="9">
      <c r="B9" s="19" t="inlineStr">
        <is>
          <t>Peajes de autopista</t>
        </is>
      </c>
      <c r="C9" s="9" t="inlineStr">
        <is>
          <t>Transporte</t>
        </is>
      </c>
      <c r="D9" s="9" t="inlineStr">
        <is>
          <t>Todos</t>
        </is>
      </c>
      <c r="E9" s="9" t="inlineStr">
        <is>
          <t>Fijo</t>
        </is>
      </c>
      <c r="F9" s="27" t="n">
        <v>58</v>
      </c>
      <c r="G9" s="28">
        <f>IF(OR(B9="",F9=""),"",F9*IF(E9="Por persona",IF(D9="Adultos",Panel!$C$15,IF(D9="Niños",Panel!$C$16,Panel!$I$12)),IF(E9="Por persona y día",IF(D9="Adultos",Panel!$C$15,IF(D9="Niños",Panel!$C$16,Panel!$I$12))*Panel!$I$13,IF(E9="Por día",Panel!$I$13,IF(E9="Por noche",Panel!$I$14,1)))))</f>
        <v/>
      </c>
      <c r="H9" s="27" t="n"/>
      <c r="I9" s="28">
        <f>IF(B9="","",IF(H9="",N(G9),H9))</f>
        <v/>
      </c>
      <c r="J9" s="20">
        <f>IF(OR(B9="",H9=""),"",H9-N(G9))</f>
        <v/>
      </c>
      <c r="K9" s="29">
        <f>IF(B9="","",IF(H9="","Pendiente",IF(H9&gt;N(G9),"Excedido","En presupuesto")))</f>
        <v/>
      </c>
      <c r="L9" s="19" t="inlineStr"/>
    </row>
    <row r="10">
      <c r="B10" s="19" t="inlineStr">
        <is>
          <t>Apartamento (9 noches)</t>
        </is>
      </c>
      <c r="C10" s="9" t="inlineStr">
        <is>
          <t>Alojamiento</t>
        </is>
      </c>
      <c r="D10" s="9" t="inlineStr">
        <is>
          <t>Todos</t>
        </is>
      </c>
      <c r="E10" s="9" t="inlineStr">
        <is>
          <t>Por noche</t>
        </is>
      </c>
      <c r="F10" s="27" t="n">
        <v>110</v>
      </c>
      <c r="G10" s="28">
        <f>IF(OR(B10="",F10=""),"",F10*IF(E10="Por persona",IF(D10="Adultos",Panel!$C$15,IF(D10="Niños",Panel!$C$16,Panel!$I$12)),IF(E10="Por persona y día",IF(D10="Adultos",Panel!$C$15,IF(D10="Niños",Panel!$C$16,Panel!$I$12))*Panel!$I$13,IF(E10="Por día",Panel!$I$13,IF(E10="Por noche",Panel!$I$14,1)))))</f>
        <v/>
      </c>
      <c r="H10" s="27" t="n">
        <v>1020</v>
      </c>
      <c r="I10" s="28">
        <f>IF(B10="","",IF(H10="",N(G10),H10))</f>
        <v/>
      </c>
      <c r="J10" s="20">
        <f>IF(OR(B10="",H10=""),"",H10-N(G10))</f>
        <v/>
      </c>
      <c r="K10" s="29">
        <f>IF(B10="","",IF(H10="","Pendiente",IF(H10&gt;N(G10),"Excedido","En presupuesto")))</f>
        <v/>
      </c>
      <c r="L10" s="19" t="inlineStr">
        <is>
          <t>Reservado con 25 % de señal</t>
        </is>
      </c>
    </row>
    <row r="11">
      <c r="B11" s="19" t="inlineStr">
        <is>
          <t>Limpieza final y tasa turística</t>
        </is>
      </c>
      <c r="C11" s="9" t="inlineStr">
        <is>
          <t>Alojamiento</t>
        </is>
      </c>
      <c r="D11" s="9" t="inlineStr">
        <is>
          <t>Todos</t>
        </is>
      </c>
      <c r="E11" s="9" t="inlineStr">
        <is>
          <t>Fijo</t>
        </is>
      </c>
      <c r="F11" s="27" t="n">
        <v>60</v>
      </c>
      <c r="G11" s="28">
        <f>IF(OR(B11="",F11=""),"",F11*IF(E11="Por persona",IF(D11="Adultos",Panel!$C$15,IF(D11="Niños",Panel!$C$16,Panel!$I$12)),IF(E11="Por persona y día",IF(D11="Adultos",Panel!$C$15,IF(D11="Niños",Panel!$C$16,Panel!$I$12))*Panel!$I$13,IF(E11="Por día",Panel!$I$13,IF(E11="Por noche",Panel!$I$14,1)))))</f>
        <v/>
      </c>
      <c r="H11" s="27" t="n">
        <v>60</v>
      </c>
      <c r="I11" s="28">
        <f>IF(B11="","",IF(H11="",N(G11),H11))</f>
        <v/>
      </c>
      <c r="J11" s="20">
        <f>IF(OR(B11="",H11=""),"",H11-N(G11))</f>
        <v/>
      </c>
      <c r="K11" s="29">
        <f>IF(B11="","",IF(H11="","Pendiente",IF(H11&gt;N(G11),"Excedido","En presupuesto")))</f>
        <v/>
      </c>
      <c r="L11" s="19" t="inlineStr"/>
    </row>
    <row r="12">
      <c r="B12" s="19" t="inlineStr">
        <is>
          <t>Compra de supermercado</t>
        </is>
      </c>
      <c r="C12" s="9" t="inlineStr">
        <is>
          <t>Comidas</t>
        </is>
      </c>
      <c r="D12" s="9" t="inlineStr">
        <is>
          <t>Todos</t>
        </is>
      </c>
      <c r="E12" s="9" t="inlineStr">
        <is>
          <t>Por persona y día</t>
        </is>
      </c>
      <c r="F12" s="27" t="n">
        <v>9</v>
      </c>
      <c r="G12" s="28">
        <f>IF(OR(B12="",F12=""),"",F12*IF(E12="Por persona",IF(D12="Adultos",Panel!$C$15,IF(D12="Niños",Panel!$C$16,Panel!$I$12)),IF(E12="Por persona y día",IF(D12="Adultos",Panel!$C$15,IF(D12="Niños",Panel!$C$16,Panel!$I$12))*Panel!$I$13,IF(E12="Por día",Panel!$I$13,IF(E12="Por noche",Panel!$I$14,1)))))</f>
        <v/>
      </c>
      <c r="H12" s="27" t="n"/>
      <c r="I12" s="28">
        <f>IF(B12="","",IF(H12="",N(G12),H12))</f>
        <v/>
      </c>
      <c r="J12" s="20">
        <f>IF(OR(B12="",H12=""),"",H12-N(G12))</f>
        <v/>
      </c>
      <c r="K12" s="29">
        <f>IF(B12="","",IF(H12="","Pendiente",IF(H12&gt;N(G12),"Excedido","En presupuesto")))</f>
        <v/>
      </c>
      <c r="L12" s="19" t="inlineStr">
        <is>
          <t>Desayunos, meriendas y cenas en casa</t>
        </is>
      </c>
    </row>
    <row r="13">
      <c r="B13" s="19" t="inlineStr">
        <is>
          <t>Comidas en restaurante (adultos)</t>
        </is>
      </c>
      <c r="C13" s="9" t="inlineStr">
        <is>
          <t>Comidas</t>
        </is>
      </c>
      <c r="D13" s="9" t="inlineStr">
        <is>
          <t>Adultos</t>
        </is>
      </c>
      <c r="E13" s="9" t="inlineStr">
        <is>
          <t>Por persona y día</t>
        </is>
      </c>
      <c r="F13" s="27" t="n">
        <v>14</v>
      </c>
      <c r="G13" s="28">
        <f>IF(OR(B13="",F13=""),"",F13*IF(E13="Por persona",IF(D13="Adultos",Panel!$C$15,IF(D13="Niños",Panel!$C$16,Panel!$I$12)),IF(E13="Por persona y día",IF(D13="Adultos",Panel!$C$15,IF(D13="Niños",Panel!$C$16,Panel!$I$12))*Panel!$I$13,IF(E13="Por día",Panel!$I$13,IF(E13="Por noche",Panel!$I$14,1)))))</f>
        <v/>
      </c>
      <c r="H13" s="27" t="n"/>
      <c r="I13" s="28">
        <f>IF(B13="","",IF(H13="",N(G13),H13))</f>
        <v/>
      </c>
      <c r="J13" s="20">
        <f>IF(OR(B13="",H13=""),"",H13-N(G13))</f>
        <v/>
      </c>
      <c r="K13" s="29">
        <f>IF(B13="","",IF(H13="","Pendiente",IF(H13&gt;N(G13),"Excedido","En presupuesto")))</f>
        <v/>
      </c>
      <c r="L13" s="19" t="inlineStr">
        <is>
          <t>Una comida fuera cada dos días, de media</t>
        </is>
      </c>
    </row>
    <row r="14">
      <c r="B14" s="19" t="inlineStr">
        <is>
          <t>Menús infantiles</t>
        </is>
      </c>
      <c r="C14" s="9" t="inlineStr">
        <is>
          <t>Comidas</t>
        </is>
      </c>
      <c r="D14" s="9" t="inlineStr">
        <is>
          <t>Niños</t>
        </is>
      </c>
      <c r="E14" s="9" t="inlineStr">
        <is>
          <t>Por persona y día</t>
        </is>
      </c>
      <c r="F14" s="27" t="n">
        <v>8</v>
      </c>
      <c r="G14" s="28">
        <f>IF(OR(B14="",F14=""),"",F14*IF(E14="Por persona",IF(D14="Adultos",Panel!$C$15,IF(D14="Niños",Panel!$C$16,Panel!$I$12)),IF(E14="Por persona y día",IF(D14="Adultos",Panel!$C$15,IF(D14="Niños",Panel!$C$16,Panel!$I$12))*Panel!$I$13,IF(E14="Por día",Panel!$I$13,IF(E14="Por noche",Panel!$I$14,1)))))</f>
        <v/>
      </c>
      <c r="H14" s="27" t="n"/>
      <c r="I14" s="28">
        <f>IF(B14="","",IF(H14="",N(G14),H14))</f>
        <v/>
      </c>
      <c r="J14" s="20">
        <f>IF(OR(B14="",H14=""),"",H14-N(G14))</f>
        <v/>
      </c>
      <c r="K14" s="29">
        <f>IF(B14="","",IF(H14="","Pendiente",IF(H14&gt;N(G14),"Excedido","En presupuesto")))</f>
        <v/>
      </c>
      <c r="L14" s="19" t="inlineStr"/>
    </row>
    <row r="15">
      <c r="B15" s="19" t="inlineStr">
        <is>
          <t>Entradas del parque acuático (adultos)</t>
        </is>
      </c>
      <c r="C15" s="9" t="inlineStr">
        <is>
          <t>Actividades</t>
        </is>
      </c>
      <c r="D15" s="9" t="inlineStr">
        <is>
          <t>Adultos</t>
        </is>
      </c>
      <c r="E15" s="9" t="inlineStr">
        <is>
          <t>Por persona</t>
        </is>
      </c>
      <c r="F15" s="27" t="n">
        <v>28</v>
      </c>
      <c r="G15" s="28">
        <f>IF(OR(B15="",F15=""),"",F15*IF(E15="Por persona",IF(D15="Adultos",Panel!$C$15,IF(D15="Niños",Panel!$C$16,Panel!$I$12)),IF(E15="Por persona y día",IF(D15="Adultos",Panel!$C$15,IF(D15="Niños",Panel!$C$16,Panel!$I$12))*Panel!$I$13,IF(E15="Por día",Panel!$I$13,IF(E15="Por noche",Panel!$I$14,1)))))</f>
        <v/>
      </c>
      <c r="H15" s="27" t="n">
        <v>56</v>
      </c>
      <c r="I15" s="28">
        <f>IF(B15="","",IF(H15="",N(G15),H15))</f>
        <v/>
      </c>
      <c r="J15" s="20">
        <f>IF(OR(B15="",H15=""),"",H15-N(G15))</f>
        <v/>
      </c>
      <c r="K15" s="29">
        <f>IF(B15="","",IF(H15="","Pendiente",IF(H15&gt;N(G15),"Excedido","En presupuesto")))</f>
        <v/>
      </c>
      <c r="L15" s="19" t="inlineStr">
        <is>
          <t>Entradas compradas online</t>
        </is>
      </c>
    </row>
    <row r="16">
      <c r="B16" s="19" t="inlineStr">
        <is>
          <t>Entradas del parque acuático (niños)</t>
        </is>
      </c>
      <c r="C16" s="9" t="inlineStr">
        <is>
          <t>Actividades</t>
        </is>
      </c>
      <c r="D16" s="9" t="inlineStr">
        <is>
          <t>Niños</t>
        </is>
      </c>
      <c r="E16" s="9" t="inlineStr">
        <is>
          <t>Por persona</t>
        </is>
      </c>
      <c r="F16" s="27" t="n">
        <v>18</v>
      </c>
      <c r="G16" s="28">
        <f>IF(OR(B16="",F16=""),"",F16*IF(E16="Por persona",IF(D16="Adultos",Panel!$C$15,IF(D16="Niños",Panel!$C$16,Panel!$I$12)),IF(E16="Por persona y día",IF(D16="Adultos",Panel!$C$15,IF(D16="Niños",Panel!$C$16,Panel!$I$12))*Panel!$I$13,IF(E16="Por día",Panel!$I$13,IF(E16="Por noche",Panel!$I$14,1)))))</f>
        <v/>
      </c>
      <c r="H16" s="27" t="n">
        <v>36</v>
      </c>
      <c r="I16" s="28">
        <f>IF(B16="","",IF(H16="",N(G16),H16))</f>
        <v/>
      </c>
      <c r="J16" s="20">
        <f>IF(OR(B16="",H16=""),"",H16-N(G16))</f>
        <v/>
      </c>
      <c r="K16" s="29">
        <f>IF(B16="","",IF(H16="","Pendiente",IF(H16&gt;N(G16),"Excedido","En presupuesto")))</f>
        <v/>
      </c>
      <c r="L16" s="19" t="inlineStr"/>
    </row>
    <row r="17">
      <c r="B17" s="19" t="inlineStr">
        <is>
          <t>Excursión en barco</t>
        </is>
      </c>
      <c r="C17" s="9" t="inlineStr">
        <is>
          <t>Actividades</t>
        </is>
      </c>
      <c r="D17" s="9" t="inlineStr">
        <is>
          <t>Todos</t>
        </is>
      </c>
      <c r="E17" s="9" t="inlineStr">
        <is>
          <t>Por persona</t>
        </is>
      </c>
      <c r="F17" s="27" t="n">
        <v>15</v>
      </c>
      <c r="G17" s="28">
        <f>IF(OR(B17="",F17=""),"",F17*IF(E17="Por persona",IF(D17="Adultos",Panel!$C$15,IF(D17="Niños",Panel!$C$16,Panel!$I$12)),IF(E17="Por persona y día",IF(D17="Adultos",Panel!$C$15,IF(D17="Niños",Panel!$C$16,Panel!$I$12))*Panel!$I$13,IF(E17="Por día",Panel!$I$13,IF(E17="Por noche",Panel!$I$14,1)))))</f>
        <v/>
      </c>
      <c r="H17" s="27" t="n"/>
      <c r="I17" s="28">
        <f>IF(B17="","",IF(H17="",N(G17),H17))</f>
        <v/>
      </c>
      <c r="J17" s="20">
        <f>IF(OR(B17="",H17=""),"",H17-N(G17))</f>
        <v/>
      </c>
      <c r="K17" s="29">
        <f>IF(B17="","",IF(H17="","Pendiente",IF(H17&gt;N(G17),"Excedido","En presupuesto")))</f>
        <v/>
      </c>
      <c r="L17" s="19" t="inlineStr"/>
    </row>
    <row r="18">
      <c r="B18" s="19" t="inlineStr">
        <is>
          <t>Sombrilla y hamacas</t>
        </is>
      </c>
      <c r="C18" s="9" t="inlineStr">
        <is>
          <t>Actividades</t>
        </is>
      </c>
      <c r="D18" s="9" t="inlineStr">
        <is>
          <t>Todos</t>
        </is>
      </c>
      <c r="E18" s="9" t="inlineStr">
        <is>
          <t>Por día</t>
        </is>
      </c>
      <c r="F18" s="27" t="n">
        <v>6</v>
      </c>
      <c r="G18" s="28">
        <f>IF(OR(B18="",F18=""),"",F18*IF(E18="Por persona",IF(D18="Adultos",Panel!$C$15,IF(D18="Niños",Panel!$C$16,Panel!$I$12)),IF(E18="Por persona y día",IF(D18="Adultos",Panel!$C$15,IF(D18="Niños",Panel!$C$16,Panel!$I$12))*Panel!$I$13,IF(E18="Por día",Panel!$I$13,IF(E18="Por noche",Panel!$I$14,1)))))</f>
        <v/>
      </c>
      <c r="H18" s="27" t="n"/>
      <c r="I18" s="28">
        <f>IF(B18="","",IF(H18="",N(G18),H18))</f>
        <v/>
      </c>
      <c r="J18" s="20">
        <f>IF(OR(B18="",H18=""),"",H18-N(G18))</f>
        <v/>
      </c>
      <c r="K18" s="29">
        <f>IF(B18="","",IF(H18="","Pendiente",IF(H18&gt;N(G18),"Excedido","En presupuesto")))</f>
        <v/>
      </c>
      <c r="L18" s="19" t="inlineStr">
        <is>
          <t>Solo los días de playa; ajusta el importe</t>
        </is>
      </c>
    </row>
    <row r="19">
      <c r="B19" s="19" t="inlineStr">
        <is>
          <t>Club infantil de verano</t>
        </is>
      </c>
      <c r="C19" s="9" t="inlineStr">
        <is>
          <t>Niños</t>
        </is>
      </c>
      <c r="D19" s="9" t="inlineStr">
        <is>
          <t>Niños</t>
        </is>
      </c>
      <c r="E19" s="9" t="inlineStr">
        <is>
          <t>Por persona</t>
        </is>
      </c>
      <c r="F19" s="27" t="n">
        <v>35</v>
      </c>
      <c r="G19" s="28">
        <f>IF(OR(B19="",F19=""),"",F19*IF(E19="Por persona",IF(D19="Adultos",Panel!$C$15,IF(D19="Niños",Panel!$C$16,Panel!$I$12)),IF(E19="Por persona y día",IF(D19="Adultos",Panel!$C$15,IF(D19="Niños",Panel!$C$16,Panel!$I$12))*Panel!$I$13,IF(E19="Por día",Panel!$I$13,IF(E19="Por noche",Panel!$I$14,1)))))</f>
        <v/>
      </c>
      <c r="H19" s="27" t="n">
        <v>70</v>
      </c>
      <c r="I19" s="28">
        <f>IF(B19="","",IF(H19="",N(G19),H19))</f>
        <v/>
      </c>
      <c r="J19" s="20">
        <f>IF(OR(B19="",H19=""),"",H19-N(G19))</f>
        <v/>
      </c>
      <c r="K19" s="29">
        <f>IF(B19="","",IF(H19="","Pendiente",IF(H19&gt;N(G19),"Excedido","En presupuesto")))</f>
        <v/>
      </c>
      <c r="L19" s="19" t="inlineStr">
        <is>
          <t>Tres mañanas</t>
        </is>
      </c>
    </row>
    <row r="20">
      <c r="B20" s="19" t="inlineStr">
        <is>
          <t>Helados y caprichos</t>
        </is>
      </c>
      <c r="C20" s="9" t="inlineStr">
        <is>
          <t>Niños</t>
        </is>
      </c>
      <c r="D20" s="9" t="inlineStr">
        <is>
          <t>Niños</t>
        </is>
      </c>
      <c r="E20" s="9" t="inlineStr">
        <is>
          <t>Por persona y día</t>
        </is>
      </c>
      <c r="F20" s="27" t="n">
        <v>3</v>
      </c>
      <c r="G20" s="28">
        <f>IF(OR(B20="",F20=""),"",F20*IF(E20="Por persona",IF(D20="Adultos",Panel!$C$15,IF(D20="Niños",Panel!$C$16,Panel!$I$12)),IF(E20="Por persona y día",IF(D20="Adultos",Panel!$C$15,IF(D20="Niños",Panel!$C$16,Panel!$I$12))*Panel!$I$13,IF(E20="Por día",Panel!$I$13,IF(E20="Por noche",Panel!$I$14,1)))))</f>
        <v/>
      </c>
      <c r="H20" s="27" t="n"/>
      <c r="I20" s="28">
        <f>IF(B20="","",IF(H20="",N(G20),H20))</f>
        <v/>
      </c>
      <c r="J20" s="20">
        <f>IF(OR(B20="",H20=""),"",H20-N(G20))</f>
        <v/>
      </c>
      <c r="K20" s="29">
        <f>IF(B20="","",IF(H20="","Pendiente",IF(H20&gt;N(G20),"Excedido","En presupuesto")))</f>
        <v/>
      </c>
      <c r="L20" s="19" t="inlineStr"/>
    </row>
    <row r="21">
      <c r="B21" s="19" t="inlineStr">
        <is>
          <t>Seguro de viaje</t>
        </is>
      </c>
      <c r="C21" s="9" t="inlineStr">
        <is>
          <t>Otros</t>
        </is>
      </c>
      <c r="D21" s="9" t="inlineStr">
        <is>
          <t>Todos</t>
        </is>
      </c>
      <c r="E21" s="9" t="inlineStr">
        <is>
          <t>Por persona</t>
        </is>
      </c>
      <c r="F21" s="27" t="n">
        <v>12</v>
      </c>
      <c r="G21" s="28">
        <f>IF(OR(B21="",F21=""),"",F21*IF(E21="Por persona",IF(D21="Adultos",Panel!$C$15,IF(D21="Niños",Panel!$C$16,Panel!$I$12)),IF(E21="Por persona y día",IF(D21="Adultos",Panel!$C$15,IF(D21="Niños",Panel!$C$16,Panel!$I$12))*Panel!$I$13,IF(E21="Por día",Panel!$I$13,IF(E21="Por noche",Panel!$I$14,1)))))</f>
        <v/>
      </c>
      <c r="H21" s="27" t="n">
        <v>48</v>
      </c>
      <c r="I21" s="28">
        <f>IF(B21="","",IF(H21="",N(G21),H21))</f>
        <v/>
      </c>
      <c r="J21" s="20">
        <f>IF(OR(B21="",H21=""),"",H21-N(G21))</f>
        <v/>
      </c>
      <c r="K21" s="29">
        <f>IF(B21="","",IF(H21="","Pendiente",IF(H21&gt;N(G21),"Excedido","En presupuesto")))</f>
        <v/>
      </c>
      <c r="L21" s="19" t="inlineStr"/>
    </row>
    <row r="22">
      <c r="B22" s="19" t="inlineStr">
        <is>
          <t>Recuerdos y regalos</t>
        </is>
      </c>
      <c r="C22" s="9" t="inlineStr">
        <is>
          <t>Otros</t>
        </is>
      </c>
      <c r="D22" s="9" t="inlineStr">
        <is>
          <t>Todos</t>
        </is>
      </c>
      <c r="E22" s="9" t="inlineStr">
        <is>
          <t>Fijo</t>
        </is>
      </c>
      <c r="F22" s="27" t="n">
        <v>80</v>
      </c>
      <c r="G22" s="28">
        <f>IF(OR(B22="",F22=""),"",F22*IF(E22="Por persona",IF(D22="Adultos",Panel!$C$15,IF(D22="Niños",Panel!$C$16,Panel!$I$12)),IF(E22="Por persona y día",IF(D22="Adultos",Panel!$C$15,IF(D22="Niños",Panel!$C$16,Panel!$I$12))*Panel!$I$13,IF(E22="Por día",Panel!$I$13,IF(E22="Por noche",Panel!$I$14,1)))))</f>
        <v/>
      </c>
      <c r="H22" s="27" t="n"/>
      <c r="I22" s="28">
        <f>IF(B22="","",IF(H22="",N(G22),H22))</f>
        <v/>
      </c>
      <c r="J22" s="20">
        <f>IF(OR(B22="",H22=""),"",H22-N(G22))</f>
        <v/>
      </c>
      <c r="K22" s="29">
        <f>IF(B22="","",IF(H22="","Pendiente",IF(H22&gt;N(G22),"Excedido","En presupuesto")))</f>
        <v/>
      </c>
      <c r="L22" s="19" t="inlineStr"/>
    </row>
    <row r="23">
      <c r="B23" s="19" t="n"/>
      <c r="C23" s="9" t="n"/>
      <c r="D23" s="9" t="n"/>
      <c r="E23" s="9" t="n"/>
      <c r="F23" s="27" t="n"/>
      <c r="G23" s="28">
        <f>IF(OR(B23="",F23=""),"",F23*IF(E23="Por persona",IF(D23="Adultos",Panel!$C$15,IF(D23="Niños",Panel!$C$16,Panel!$I$12)),IF(E23="Por persona y día",IF(D23="Adultos",Panel!$C$15,IF(D23="Niños",Panel!$C$16,Panel!$I$12))*Panel!$I$13,IF(E23="Por día",Panel!$I$13,IF(E23="Por noche",Panel!$I$14,1)))))</f>
        <v/>
      </c>
      <c r="H23" s="27" t="n"/>
      <c r="I23" s="28">
        <f>IF(B23="","",IF(H23="",N(G23),H23))</f>
        <v/>
      </c>
      <c r="J23" s="20">
        <f>IF(OR(B23="",H23=""),"",H23-N(G23))</f>
        <v/>
      </c>
      <c r="K23" s="29">
        <f>IF(B23="","",IF(H23="","Pendiente",IF(H23&gt;N(G23),"Excedido","En presupuesto")))</f>
        <v/>
      </c>
      <c r="L23" s="19" t="n"/>
    </row>
    <row r="24">
      <c r="B24" s="19" t="n"/>
      <c r="C24" s="9" t="n"/>
      <c r="D24" s="9" t="n"/>
      <c r="E24" s="9" t="n"/>
      <c r="F24" s="27" t="n"/>
      <c r="G24" s="28">
        <f>IF(OR(B24="",F24=""),"",F24*IF(E24="Por persona",IF(D24="Adultos",Panel!$C$15,IF(D24="Niños",Panel!$C$16,Panel!$I$12)),IF(E24="Por persona y día",IF(D24="Adultos",Panel!$C$15,IF(D24="Niños",Panel!$C$16,Panel!$I$12))*Panel!$I$13,IF(E24="Por día",Panel!$I$13,IF(E24="Por noche",Panel!$I$14,1)))))</f>
        <v/>
      </c>
      <c r="H24" s="27" t="n"/>
      <c r="I24" s="28">
        <f>IF(B24="","",IF(H24="",N(G24),H24))</f>
        <v/>
      </c>
      <c r="J24" s="20">
        <f>IF(OR(B24="",H24=""),"",H24-N(G24))</f>
        <v/>
      </c>
      <c r="K24" s="29">
        <f>IF(B24="","",IF(H24="","Pendiente",IF(H24&gt;N(G24),"Excedido","En presupuesto")))</f>
        <v/>
      </c>
      <c r="L24" s="19" t="n"/>
    </row>
    <row r="25">
      <c r="B25" s="19" t="n"/>
      <c r="C25" s="9" t="n"/>
      <c r="D25" s="9" t="n"/>
      <c r="E25" s="9" t="n"/>
      <c r="F25" s="27" t="n"/>
      <c r="G25" s="28">
        <f>IF(OR(B25="",F25=""),"",F25*IF(E25="Por persona",IF(D25="Adultos",Panel!$C$15,IF(D25="Niños",Panel!$C$16,Panel!$I$12)),IF(E25="Por persona y día",IF(D25="Adultos",Panel!$C$15,IF(D25="Niños",Panel!$C$16,Panel!$I$12))*Panel!$I$13,IF(E25="Por día",Panel!$I$13,IF(E25="Por noche",Panel!$I$14,1)))))</f>
        <v/>
      </c>
      <c r="H25" s="27" t="n"/>
      <c r="I25" s="28">
        <f>IF(B25="","",IF(H25="",N(G25),H25))</f>
        <v/>
      </c>
      <c r="J25" s="20">
        <f>IF(OR(B25="",H25=""),"",H25-N(G25))</f>
        <v/>
      </c>
      <c r="K25" s="29">
        <f>IF(B25="","",IF(H25="","Pendiente",IF(H25&gt;N(G25),"Excedido","En presupuesto")))</f>
        <v/>
      </c>
      <c r="L25" s="19" t="n"/>
    </row>
    <row r="26">
      <c r="B26" s="19" t="n"/>
      <c r="C26" s="9" t="n"/>
      <c r="D26" s="9" t="n"/>
      <c r="E26" s="9" t="n"/>
      <c r="F26" s="27" t="n"/>
      <c r="G26" s="28">
        <f>IF(OR(B26="",F26=""),"",F26*IF(E26="Por persona",IF(D26="Adultos",Panel!$C$15,IF(D26="Niños",Panel!$C$16,Panel!$I$12)),IF(E26="Por persona y día",IF(D26="Adultos",Panel!$C$15,IF(D26="Niños",Panel!$C$16,Panel!$I$12))*Panel!$I$13,IF(E26="Por día",Panel!$I$13,IF(E26="Por noche",Panel!$I$14,1)))))</f>
        <v/>
      </c>
      <c r="H26" s="27" t="n"/>
      <c r="I26" s="28">
        <f>IF(B26="","",IF(H26="",N(G26),H26))</f>
        <v/>
      </c>
      <c r="J26" s="20">
        <f>IF(OR(B26="",H26=""),"",H26-N(G26))</f>
        <v/>
      </c>
      <c r="K26" s="29">
        <f>IF(B26="","",IF(H26="","Pendiente",IF(H26&gt;N(G26),"Excedido","En presupuesto")))</f>
        <v/>
      </c>
      <c r="L26" s="19" t="n"/>
    </row>
    <row r="27">
      <c r="B27" s="19" t="n"/>
      <c r="C27" s="9" t="n"/>
      <c r="D27" s="9" t="n"/>
      <c r="E27" s="9" t="n"/>
      <c r="F27" s="27" t="n"/>
      <c r="G27" s="28">
        <f>IF(OR(B27="",F27=""),"",F27*IF(E27="Por persona",IF(D27="Adultos",Panel!$C$15,IF(D27="Niños",Panel!$C$16,Panel!$I$12)),IF(E27="Por persona y día",IF(D27="Adultos",Panel!$C$15,IF(D27="Niños",Panel!$C$16,Panel!$I$12))*Panel!$I$13,IF(E27="Por día",Panel!$I$13,IF(E27="Por noche",Panel!$I$14,1)))))</f>
        <v/>
      </c>
      <c r="H27" s="27" t="n"/>
      <c r="I27" s="28">
        <f>IF(B27="","",IF(H27="",N(G27),H27))</f>
        <v/>
      </c>
      <c r="J27" s="20">
        <f>IF(OR(B27="",H27=""),"",H27-N(G27))</f>
        <v/>
      </c>
      <c r="K27" s="29">
        <f>IF(B27="","",IF(H27="","Pendiente",IF(H27&gt;N(G27),"Excedido","En presupuesto")))</f>
        <v/>
      </c>
      <c r="L27" s="19" t="n"/>
    </row>
    <row r="28">
      <c r="B28" s="19" t="n"/>
      <c r="C28" s="9" t="n"/>
      <c r="D28" s="9" t="n"/>
      <c r="E28" s="9" t="n"/>
      <c r="F28" s="27" t="n"/>
      <c r="G28" s="28">
        <f>IF(OR(B28="",F28=""),"",F28*IF(E28="Por persona",IF(D28="Adultos",Panel!$C$15,IF(D28="Niños",Panel!$C$16,Panel!$I$12)),IF(E28="Por persona y día",IF(D28="Adultos",Panel!$C$15,IF(D28="Niños",Panel!$C$16,Panel!$I$12))*Panel!$I$13,IF(E28="Por día",Panel!$I$13,IF(E28="Por noche",Panel!$I$14,1)))))</f>
        <v/>
      </c>
      <c r="H28" s="27" t="n"/>
      <c r="I28" s="28">
        <f>IF(B28="","",IF(H28="",N(G28),H28))</f>
        <v/>
      </c>
      <c r="J28" s="20">
        <f>IF(OR(B28="",H28=""),"",H28-N(G28))</f>
        <v/>
      </c>
      <c r="K28" s="29">
        <f>IF(B28="","",IF(H28="","Pendiente",IF(H28&gt;N(G28),"Excedido","En presupuesto")))</f>
        <v/>
      </c>
      <c r="L28" s="19" t="n"/>
    </row>
    <row r="29">
      <c r="B29" s="19" t="n"/>
      <c r="C29" s="9" t="n"/>
      <c r="D29" s="9" t="n"/>
      <c r="E29" s="9" t="n"/>
      <c r="F29" s="27" t="n"/>
      <c r="G29" s="28">
        <f>IF(OR(B29="",F29=""),"",F29*IF(E29="Por persona",IF(D29="Adultos",Panel!$C$15,IF(D29="Niños",Panel!$C$16,Panel!$I$12)),IF(E29="Por persona y día",IF(D29="Adultos",Panel!$C$15,IF(D29="Niños",Panel!$C$16,Panel!$I$12))*Panel!$I$13,IF(E29="Por día",Panel!$I$13,IF(E29="Por noche",Panel!$I$14,1)))))</f>
        <v/>
      </c>
      <c r="H29" s="27" t="n"/>
      <c r="I29" s="28">
        <f>IF(B29="","",IF(H29="",N(G29),H29))</f>
        <v/>
      </c>
      <c r="J29" s="20">
        <f>IF(OR(B29="",H29=""),"",H29-N(G29))</f>
        <v/>
      </c>
      <c r="K29" s="29">
        <f>IF(B29="","",IF(H29="","Pendiente",IF(H29&gt;N(G29),"Excedido","En presupuesto")))</f>
        <v/>
      </c>
      <c r="L29" s="19" t="n"/>
    </row>
    <row r="30">
      <c r="B30" s="19" t="n"/>
      <c r="C30" s="9" t="n"/>
      <c r="D30" s="9" t="n"/>
      <c r="E30" s="9" t="n"/>
      <c r="F30" s="27" t="n"/>
      <c r="G30" s="28">
        <f>IF(OR(B30="",F30=""),"",F30*IF(E30="Por persona",IF(D30="Adultos",Panel!$C$15,IF(D30="Niños",Panel!$C$16,Panel!$I$12)),IF(E30="Por persona y día",IF(D30="Adultos",Panel!$C$15,IF(D30="Niños",Panel!$C$16,Panel!$I$12))*Panel!$I$13,IF(E30="Por día",Panel!$I$13,IF(E30="Por noche",Panel!$I$14,1)))))</f>
        <v/>
      </c>
      <c r="H30" s="27" t="n"/>
      <c r="I30" s="28">
        <f>IF(B30="","",IF(H30="",N(G30),H30))</f>
        <v/>
      </c>
      <c r="J30" s="20">
        <f>IF(OR(B30="",H30=""),"",H30-N(G30))</f>
        <v/>
      </c>
      <c r="K30" s="29">
        <f>IF(B30="","",IF(H30="","Pendiente",IF(H30&gt;N(G30),"Excedido","En presupuesto")))</f>
        <v/>
      </c>
      <c r="L30" s="19" t="n"/>
    </row>
    <row r="31">
      <c r="B31" s="19" t="n"/>
      <c r="C31" s="9" t="n"/>
      <c r="D31" s="9" t="n"/>
      <c r="E31" s="9" t="n"/>
      <c r="F31" s="27" t="n"/>
      <c r="G31" s="28">
        <f>IF(OR(B31="",F31=""),"",F31*IF(E31="Por persona",IF(D31="Adultos",Panel!$C$15,IF(D31="Niños",Panel!$C$16,Panel!$I$12)),IF(E31="Por persona y día",IF(D31="Adultos",Panel!$C$15,IF(D31="Niños",Panel!$C$16,Panel!$I$12))*Panel!$I$13,IF(E31="Por día",Panel!$I$13,IF(E31="Por noche",Panel!$I$14,1)))))</f>
        <v/>
      </c>
      <c r="H31" s="27" t="n"/>
      <c r="I31" s="28">
        <f>IF(B31="","",IF(H31="",N(G31),H31))</f>
        <v/>
      </c>
      <c r="J31" s="20">
        <f>IF(OR(B31="",H31=""),"",H31-N(G31))</f>
        <v/>
      </c>
      <c r="K31" s="29">
        <f>IF(B31="","",IF(H31="","Pendiente",IF(H31&gt;N(G31),"Excedido","En presupuesto")))</f>
        <v/>
      </c>
      <c r="L31" s="19" t="n"/>
    </row>
    <row r="32">
      <c r="B32" s="19" t="n"/>
      <c r="C32" s="9" t="n"/>
      <c r="D32" s="9" t="n"/>
      <c r="E32" s="9" t="n"/>
      <c r="F32" s="27" t="n"/>
      <c r="G32" s="28">
        <f>IF(OR(B32="",F32=""),"",F32*IF(E32="Por persona",IF(D32="Adultos",Panel!$C$15,IF(D32="Niños",Panel!$C$16,Panel!$I$12)),IF(E32="Por persona y día",IF(D32="Adultos",Panel!$C$15,IF(D32="Niños",Panel!$C$16,Panel!$I$12))*Panel!$I$13,IF(E32="Por día",Panel!$I$13,IF(E32="Por noche",Panel!$I$14,1)))))</f>
        <v/>
      </c>
      <c r="H32" s="27" t="n"/>
      <c r="I32" s="28">
        <f>IF(B32="","",IF(H32="",N(G32),H32))</f>
        <v/>
      </c>
      <c r="J32" s="20">
        <f>IF(OR(B32="",H32=""),"",H32-N(G32))</f>
        <v/>
      </c>
      <c r="K32" s="29">
        <f>IF(B32="","",IF(H32="","Pendiente",IF(H32&gt;N(G32),"Excedido","En presupuesto")))</f>
        <v/>
      </c>
      <c r="L32" s="19" t="n"/>
    </row>
    <row r="33">
      <c r="B33" s="19" t="n"/>
      <c r="C33" s="9" t="n"/>
      <c r="D33" s="9" t="n"/>
      <c r="E33" s="9" t="n"/>
      <c r="F33" s="27" t="n"/>
      <c r="G33" s="28">
        <f>IF(OR(B33="",F33=""),"",F33*IF(E33="Por persona",IF(D33="Adultos",Panel!$C$15,IF(D33="Niños",Panel!$C$16,Panel!$I$12)),IF(E33="Por persona y día",IF(D33="Adultos",Panel!$C$15,IF(D33="Niños",Panel!$C$16,Panel!$I$12))*Panel!$I$13,IF(E33="Por día",Panel!$I$13,IF(E33="Por noche",Panel!$I$14,1)))))</f>
        <v/>
      </c>
      <c r="H33" s="27" t="n"/>
      <c r="I33" s="28">
        <f>IF(B33="","",IF(H33="",N(G33),H33))</f>
        <v/>
      </c>
      <c r="J33" s="20">
        <f>IF(OR(B33="",H33=""),"",H33-N(G33))</f>
        <v/>
      </c>
      <c r="K33" s="29">
        <f>IF(B33="","",IF(H33="","Pendiente",IF(H33&gt;N(G33),"Excedido","En presupuesto")))</f>
        <v/>
      </c>
      <c r="L33" s="19" t="n"/>
    </row>
    <row r="34">
      <c r="B34" s="19" t="n"/>
      <c r="C34" s="9" t="n"/>
      <c r="D34" s="9" t="n"/>
      <c r="E34" s="9" t="n"/>
      <c r="F34" s="27" t="n"/>
      <c r="G34" s="28">
        <f>IF(OR(B34="",F34=""),"",F34*IF(E34="Por persona",IF(D34="Adultos",Panel!$C$15,IF(D34="Niños",Panel!$C$16,Panel!$I$12)),IF(E34="Por persona y día",IF(D34="Adultos",Panel!$C$15,IF(D34="Niños",Panel!$C$16,Panel!$I$12))*Panel!$I$13,IF(E34="Por día",Panel!$I$13,IF(E34="Por noche",Panel!$I$14,1)))))</f>
        <v/>
      </c>
      <c r="H34" s="27" t="n"/>
      <c r="I34" s="28">
        <f>IF(B34="","",IF(H34="",N(G34),H34))</f>
        <v/>
      </c>
      <c r="J34" s="20">
        <f>IF(OR(B34="",H34=""),"",H34-N(G34))</f>
        <v/>
      </c>
      <c r="K34" s="29">
        <f>IF(B34="","",IF(H34="","Pendiente",IF(H34&gt;N(G34),"Excedido","En presupuesto")))</f>
        <v/>
      </c>
      <c r="L34" s="19" t="n"/>
    </row>
    <row r="35">
      <c r="B35" s="19" t="n"/>
      <c r="C35" s="9" t="n"/>
      <c r="D35" s="9" t="n"/>
      <c r="E35" s="9" t="n"/>
      <c r="F35" s="27" t="n"/>
      <c r="G35" s="28">
        <f>IF(OR(B35="",F35=""),"",F35*IF(E35="Por persona",IF(D35="Adultos",Panel!$C$15,IF(D35="Niños",Panel!$C$16,Panel!$I$12)),IF(E35="Por persona y día",IF(D35="Adultos",Panel!$C$15,IF(D35="Niños",Panel!$C$16,Panel!$I$12))*Panel!$I$13,IF(E35="Por día",Panel!$I$13,IF(E35="Por noche",Panel!$I$14,1)))))</f>
        <v/>
      </c>
      <c r="H35" s="27" t="n"/>
      <c r="I35" s="28">
        <f>IF(B35="","",IF(H35="",N(G35),H35))</f>
        <v/>
      </c>
      <c r="J35" s="20">
        <f>IF(OR(B35="",H35=""),"",H35-N(G35))</f>
        <v/>
      </c>
      <c r="K35" s="29">
        <f>IF(B35="","",IF(H35="","Pendiente",IF(H35&gt;N(G35),"Excedido","En presupuesto")))</f>
        <v/>
      </c>
      <c r="L35" s="19" t="n"/>
    </row>
    <row r="36">
      <c r="B36" s="19" t="n"/>
      <c r="C36" s="9" t="n"/>
      <c r="D36" s="9" t="n"/>
      <c r="E36" s="9" t="n"/>
      <c r="F36" s="27" t="n"/>
      <c r="G36" s="28">
        <f>IF(OR(B36="",F36=""),"",F36*IF(E36="Por persona",IF(D36="Adultos",Panel!$C$15,IF(D36="Niños",Panel!$C$16,Panel!$I$12)),IF(E36="Por persona y día",IF(D36="Adultos",Panel!$C$15,IF(D36="Niños",Panel!$C$16,Panel!$I$12))*Panel!$I$13,IF(E36="Por día",Panel!$I$13,IF(E36="Por noche",Panel!$I$14,1)))))</f>
        <v/>
      </c>
      <c r="H36" s="27" t="n"/>
      <c r="I36" s="28">
        <f>IF(B36="","",IF(H36="",N(G36),H36))</f>
        <v/>
      </c>
      <c r="J36" s="20">
        <f>IF(OR(B36="",H36=""),"",H36-N(G36))</f>
        <v/>
      </c>
      <c r="K36" s="29">
        <f>IF(B36="","",IF(H36="","Pendiente",IF(H36&gt;N(G36),"Excedido","En presupuesto")))</f>
        <v/>
      </c>
      <c r="L36" s="19" t="n"/>
    </row>
    <row r="37">
      <c r="B37" s="19" t="n"/>
      <c r="C37" s="9" t="n"/>
      <c r="D37" s="9" t="n"/>
      <c r="E37" s="9" t="n"/>
      <c r="F37" s="27" t="n"/>
      <c r="G37" s="28">
        <f>IF(OR(B37="",F37=""),"",F37*IF(E37="Por persona",IF(D37="Adultos",Panel!$C$15,IF(D37="Niños",Panel!$C$16,Panel!$I$12)),IF(E37="Por persona y día",IF(D37="Adultos",Panel!$C$15,IF(D37="Niños",Panel!$C$16,Panel!$I$12))*Panel!$I$13,IF(E37="Por día",Panel!$I$13,IF(E37="Por noche",Panel!$I$14,1)))))</f>
        <v/>
      </c>
      <c r="H37" s="27" t="n"/>
      <c r="I37" s="28">
        <f>IF(B37="","",IF(H37="",N(G37),H37))</f>
        <v/>
      </c>
      <c r="J37" s="20">
        <f>IF(OR(B37="",H37=""),"",H37-N(G37))</f>
        <v/>
      </c>
      <c r="K37" s="29">
        <f>IF(B37="","",IF(H37="","Pendiente",IF(H37&gt;N(G37),"Excedido","En presupuesto")))</f>
        <v/>
      </c>
      <c r="L37" s="19" t="n"/>
    </row>
    <row r="38">
      <c r="B38" s="19" t="n"/>
      <c r="C38" s="9" t="n"/>
      <c r="D38" s="9" t="n"/>
      <c r="E38" s="9" t="n"/>
      <c r="F38" s="27" t="n"/>
      <c r="G38" s="28">
        <f>IF(OR(B38="",F38=""),"",F38*IF(E38="Por persona",IF(D38="Adultos",Panel!$C$15,IF(D38="Niños",Panel!$C$16,Panel!$I$12)),IF(E38="Por persona y día",IF(D38="Adultos",Panel!$C$15,IF(D38="Niños",Panel!$C$16,Panel!$I$12))*Panel!$I$13,IF(E38="Por día",Panel!$I$13,IF(E38="Por noche",Panel!$I$14,1)))))</f>
        <v/>
      </c>
      <c r="H38" s="27" t="n"/>
      <c r="I38" s="28">
        <f>IF(B38="","",IF(H38="",N(G38),H38))</f>
        <v/>
      </c>
      <c r="J38" s="20">
        <f>IF(OR(B38="",H38=""),"",H38-N(G38))</f>
        <v/>
      </c>
      <c r="K38" s="29">
        <f>IF(B38="","",IF(H38="","Pendiente",IF(H38&gt;N(G38),"Excedido","En presupuesto")))</f>
        <v/>
      </c>
      <c r="L38" s="19" t="n"/>
    </row>
    <row r="39">
      <c r="B39" s="19" t="n"/>
      <c r="C39" s="9" t="n"/>
      <c r="D39" s="9" t="n"/>
      <c r="E39" s="9" t="n"/>
      <c r="F39" s="27" t="n"/>
      <c r="G39" s="28">
        <f>IF(OR(B39="",F39=""),"",F39*IF(E39="Por persona",IF(D39="Adultos",Panel!$C$15,IF(D39="Niños",Panel!$C$16,Panel!$I$12)),IF(E39="Por persona y día",IF(D39="Adultos",Panel!$C$15,IF(D39="Niños",Panel!$C$16,Panel!$I$12))*Panel!$I$13,IF(E39="Por día",Panel!$I$13,IF(E39="Por noche",Panel!$I$14,1)))))</f>
        <v/>
      </c>
      <c r="H39" s="27" t="n"/>
      <c r="I39" s="28">
        <f>IF(B39="","",IF(H39="",N(G39),H39))</f>
        <v/>
      </c>
      <c r="J39" s="20">
        <f>IF(OR(B39="",H39=""),"",H39-N(G39))</f>
        <v/>
      </c>
      <c r="K39" s="29">
        <f>IF(B39="","",IF(H39="","Pendiente",IF(H39&gt;N(G39),"Excedido","En presupuesto")))</f>
        <v/>
      </c>
      <c r="L39" s="19" t="n"/>
    </row>
    <row r="40">
      <c r="B40" s="19" t="n"/>
      <c r="C40" s="9" t="n"/>
      <c r="D40" s="9" t="n"/>
      <c r="E40" s="9" t="n"/>
      <c r="F40" s="27" t="n"/>
      <c r="G40" s="28">
        <f>IF(OR(B40="",F40=""),"",F40*IF(E40="Por persona",IF(D40="Adultos",Panel!$C$15,IF(D40="Niños",Panel!$C$16,Panel!$I$12)),IF(E40="Por persona y día",IF(D40="Adultos",Panel!$C$15,IF(D40="Niños",Panel!$C$16,Panel!$I$12))*Panel!$I$13,IF(E40="Por día",Panel!$I$13,IF(E40="Por noche",Panel!$I$14,1)))))</f>
        <v/>
      </c>
      <c r="H40" s="27" t="n"/>
      <c r="I40" s="28">
        <f>IF(B40="","",IF(H40="",N(G40),H40))</f>
        <v/>
      </c>
      <c r="J40" s="20">
        <f>IF(OR(B40="",H40=""),"",H40-N(G40))</f>
        <v/>
      </c>
      <c r="K40" s="29">
        <f>IF(B40="","",IF(H40="","Pendiente",IF(H40&gt;N(G40),"Excedido","En presupuesto")))</f>
        <v/>
      </c>
      <c r="L40" s="19" t="n"/>
    </row>
    <row r="41">
      <c r="B41" s="19" t="n"/>
      <c r="C41" s="9" t="n"/>
      <c r="D41" s="9" t="n"/>
      <c r="E41" s="9" t="n"/>
      <c r="F41" s="27" t="n"/>
      <c r="G41" s="28">
        <f>IF(OR(B41="",F41=""),"",F41*IF(E41="Por persona",IF(D41="Adultos",Panel!$C$15,IF(D41="Niños",Panel!$C$16,Panel!$I$12)),IF(E41="Por persona y día",IF(D41="Adultos",Panel!$C$15,IF(D41="Niños",Panel!$C$16,Panel!$I$12))*Panel!$I$13,IF(E41="Por día",Panel!$I$13,IF(E41="Por noche",Panel!$I$14,1)))))</f>
        <v/>
      </c>
      <c r="H41" s="27" t="n"/>
      <c r="I41" s="28">
        <f>IF(B41="","",IF(H41="",N(G41),H41))</f>
        <v/>
      </c>
      <c r="J41" s="20">
        <f>IF(OR(B41="",H41=""),"",H41-N(G41))</f>
        <v/>
      </c>
      <c r="K41" s="29">
        <f>IF(B41="","",IF(H41="","Pendiente",IF(H41&gt;N(G41),"Excedido","En presupuesto")))</f>
        <v/>
      </c>
      <c r="L41" s="19" t="n"/>
    </row>
    <row r="42">
      <c r="B42" s="19" t="n"/>
      <c r="C42" s="9" t="n"/>
      <c r="D42" s="9" t="n"/>
      <c r="E42" s="9" t="n"/>
      <c r="F42" s="27" t="n"/>
      <c r="G42" s="28">
        <f>IF(OR(B42="",F42=""),"",F42*IF(E42="Por persona",IF(D42="Adultos",Panel!$C$15,IF(D42="Niños",Panel!$C$16,Panel!$I$12)),IF(E42="Por persona y día",IF(D42="Adultos",Panel!$C$15,IF(D42="Niños",Panel!$C$16,Panel!$I$12))*Panel!$I$13,IF(E42="Por día",Panel!$I$13,IF(E42="Por noche",Panel!$I$14,1)))))</f>
        <v/>
      </c>
      <c r="H42" s="27" t="n"/>
      <c r="I42" s="28">
        <f>IF(B42="","",IF(H42="",N(G42),H42))</f>
        <v/>
      </c>
      <c r="J42" s="20">
        <f>IF(OR(B42="",H42=""),"",H42-N(G42))</f>
        <v/>
      </c>
      <c r="K42" s="29">
        <f>IF(B42="","",IF(H42="","Pendiente",IF(H42&gt;N(G42),"Excedido","En presupuesto")))</f>
        <v/>
      </c>
      <c r="L42" s="19" t="n"/>
    </row>
    <row r="43">
      <c r="B43" s="19" t="n"/>
      <c r="C43" s="9" t="n"/>
      <c r="D43" s="9" t="n"/>
      <c r="E43" s="9" t="n"/>
      <c r="F43" s="27" t="n"/>
      <c r="G43" s="28">
        <f>IF(OR(B43="",F43=""),"",F43*IF(E43="Por persona",IF(D43="Adultos",Panel!$C$15,IF(D43="Niños",Panel!$C$16,Panel!$I$12)),IF(E43="Por persona y día",IF(D43="Adultos",Panel!$C$15,IF(D43="Niños",Panel!$C$16,Panel!$I$12))*Panel!$I$13,IF(E43="Por día",Panel!$I$13,IF(E43="Por noche",Panel!$I$14,1)))))</f>
        <v/>
      </c>
      <c r="H43" s="27" t="n"/>
      <c r="I43" s="28">
        <f>IF(B43="","",IF(H43="",N(G43),H43))</f>
        <v/>
      </c>
      <c r="J43" s="20">
        <f>IF(OR(B43="",H43=""),"",H43-N(G43))</f>
        <v/>
      </c>
      <c r="K43" s="29">
        <f>IF(B43="","",IF(H43="","Pendiente",IF(H43&gt;N(G43),"Excedido","En presupuesto")))</f>
        <v/>
      </c>
      <c r="L43" s="19" t="n"/>
    </row>
    <row r="44">
      <c r="B44" s="19" t="n"/>
      <c r="C44" s="9" t="n"/>
      <c r="D44" s="9" t="n"/>
      <c r="E44" s="9" t="n"/>
      <c r="F44" s="27" t="n"/>
      <c r="G44" s="28">
        <f>IF(OR(B44="",F44=""),"",F44*IF(E44="Por persona",IF(D44="Adultos",Panel!$C$15,IF(D44="Niños",Panel!$C$16,Panel!$I$12)),IF(E44="Por persona y día",IF(D44="Adultos",Panel!$C$15,IF(D44="Niños",Panel!$C$16,Panel!$I$12))*Panel!$I$13,IF(E44="Por día",Panel!$I$13,IF(E44="Por noche",Panel!$I$14,1)))))</f>
        <v/>
      </c>
      <c r="H44" s="27" t="n"/>
      <c r="I44" s="28">
        <f>IF(B44="","",IF(H44="",N(G44),H44))</f>
        <v/>
      </c>
      <c r="J44" s="20">
        <f>IF(OR(B44="",H44=""),"",H44-N(G44))</f>
        <v/>
      </c>
      <c r="K44" s="29">
        <f>IF(B44="","",IF(H44="","Pendiente",IF(H44&gt;N(G44),"Excedido","En presupuesto")))</f>
        <v/>
      </c>
      <c r="L44" s="19" t="n"/>
    </row>
    <row r="45">
      <c r="B45" s="19" t="n"/>
      <c r="C45" s="9" t="n"/>
      <c r="D45" s="9" t="n"/>
      <c r="E45" s="9" t="n"/>
      <c r="F45" s="27" t="n"/>
      <c r="G45" s="28">
        <f>IF(OR(B45="",F45=""),"",F45*IF(E45="Por persona",IF(D45="Adultos",Panel!$C$15,IF(D45="Niños",Panel!$C$16,Panel!$I$12)),IF(E45="Por persona y día",IF(D45="Adultos",Panel!$C$15,IF(D45="Niños",Panel!$C$16,Panel!$I$12))*Panel!$I$13,IF(E45="Por día",Panel!$I$13,IF(E45="Por noche",Panel!$I$14,1)))))</f>
        <v/>
      </c>
      <c r="H45" s="27" t="n"/>
      <c r="I45" s="28">
        <f>IF(B45="","",IF(H45="",N(G45),H45))</f>
        <v/>
      </c>
      <c r="J45" s="20">
        <f>IF(OR(B45="",H45=""),"",H45-N(G45))</f>
        <v/>
      </c>
      <c r="K45" s="29">
        <f>IF(B45="","",IF(H45="","Pendiente",IF(H45&gt;N(G45),"Excedido","En presupuesto")))</f>
        <v/>
      </c>
      <c r="L45" s="19" t="n"/>
    </row>
    <row r="46">
      <c r="B46" s="19" t="n"/>
      <c r="C46" s="9" t="n"/>
      <c r="D46" s="9" t="n"/>
      <c r="E46" s="9" t="n"/>
      <c r="F46" s="27" t="n"/>
      <c r="G46" s="28">
        <f>IF(OR(B46="",F46=""),"",F46*IF(E46="Por persona",IF(D46="Adultos",Panel!$C$15,IF(D46="Niños",Panel!$C$16,Panel!$I$12)),IF(E46="Por persona y día",IF(D46="Adultos",Panel!$C$15,IF(D46="Niños",Panel!$C$16,Panel!$I$12))*Panel!$I$13,IF(E46="Por día",Panel!$I$13,IF(E46="Por noche",Panel!$I$14,1)))))</f>
        <v/>
      </c>
      <c r="H46" s="27" t="n"/>
      <c r="I46" s="28">
        <f>IF(B46="","",IF(H46="",N(G46),H46))</f>
        <v/>
      </c>
      <c r="J46" s="20">
        <f>IF(OR(B46="",H46=""),"",H46-N(G46))</f>
        <v/>
      </c>
      <c r="K46" s="29">
        <f>IF(B46="","",IF(H46="","Pendiente",IF(H46&gt;N(G46),"Excedido","En presupuesto")))</f>
        <v/>
      </c>
      <c r="L46" s="19" t="n"/>
    </row>
    <row r="47">
      <c r="B47" s="19" t="n"/>
      <c r="C47" s="9" t="n"/>
      <c r="D47" s="9" t="n"/>
      <c r="E47" s="9" t="n"/>
      <c r="F47" s="27" t="n"/>
      <c r="G47" s="28">
        <f>IF(OR(B47="",F47=""),"",F47*IF(E47="Por persona",IF(D47="Adultos",Panel!$C$15,IF(D47="Niños",Panel!$C$16,Panel!$I$12)),IF(E47="Por persona y día",IF(D47="Adultos",Panel!$C$15,IF(D47="Niños",Panel!$C$16,Panel!$I$12))*Panel!$I$13,IF(E47="Por día",Panel!$I$13,IF(E47="Por noche",Panel!$I$14,1)))))</f>
        <v/>
      </c>
      <c r="H47" s="27" t="n"/>
      <c r="I47" s="28">
        <f>IF(B47="","",IF(H47="",N(G47),H47))</f>
        <v/>
      </c>
      <c r="J47" s="20">
        <f>IF(OR(B47="",H47=""),"",H47-N(G47))</f>
        <v/>
      </c>
      <c r="K47" s="29">
        <f>IF(B47="","",IF(H47="","Pendiente",IF(H47&gt;N(G47),"Excedido","En presupuesto")))</f>
        <v/>
      </c>
      <c r="L47" s="19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B8:L47">
    <cfRule type="expression" priority="1" dxfId="1">
      <formula>$K8="Excedido"</formula>
    </cfRule>
    <cfRule type="expression" priority="2" dxfId="2">
      <formula>$K8="En presupuesto"</formula>
    </cfRule>
  </conditionalFormatting>
  <conditionalFormatting sqref="G8:G47">
    <cfRule type="dataBar" priority="3">
      <dataBar>
        <cfvo type="num" val="0"/>
        <cfvo type="max"/>
        <color rgb="0010B981"/>
      </dataBar>
    </cfRule>
  </conditionalFormatting>
  <dataValidations count="4">
    <dataValidation sqref="C8:C47" showDropDown="0" showInputMessage="0" showErrorMessage="0" allowBlank="1" type="list">
      <formula1>=Panel!$B$23:$B$28</formula1>
    </dataValidation>
    <dataValidation sqref="D8:D47" showDropDown="0" showInputMessage="0" showErrorMessage="0" allowBlank="1" type="list">
      <formula1>"Todos,Adultos,Niños"</formula1>
    </dataValidation>
    <dataValidation sqref="E8:E47" showDropDown="0" showInputMessage="0" showErrorMessage="0" allowBlank="1" type="list">
      <formula1>"Fijo,Por persona,Por día,Por noche,Por persona y día"</formula1>
    </dataValidation>
    <dataValidation sqref="F8:F47 H8:H47" showDropDown="0" showInputMessage="0" showErrorMessage="1" allowBlank="1" errorTitle="Importe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H43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8" customWidth="1" min="3" max="3"/>
    <col width="16" customWidth="1" min="4" max="4"/>
    <col width="19" customWidth="1" min="5" max="5"/>
    <col width="18" customWidth="1" min="6" max="6"/>
    <col width="15" customWidth="1" min="7" max="7"/>
    <col width="14" customWidth="1" min="8" max="8"/>
    <col width="3" customWidth="1" min="9" max="9"/>
  </cols>
  <sheetData>
    <row r="2" ht="34" customHeight="1">
      <c r="B2" s="1" t="inlineStr">
        <is>
          <t>Plan de ahorro hasta la salida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Un mes por fila desde que empiezas a ahorrar hasta el mes de la salida. Apunta lo que aportas cada mes y compara con el ritmo previsto.</t>
        </is>
      </c>
    </row>
    <row r="5">
      <c r="B5" s="30" t="inlineStr">
        <is>
          <t>Cuota mensual del plan:</t>
        </is>
      </c>
      <c r="D5" s="23">
        <f>Panel!B9</f>
        <v/>
      </c>
      <c r="E5" s="26" t="inlineStr">
        <is>
          <t>Ahorro ya reservado:</t>
        </is>
      </c>
      <c r="F5" s="23">
        <f>Panel!C18</f>
        <v/>
      </c>
    </row>
    <row r="7" ht="34" customHeight="1">
      <c r="B7" s="18" t="inlineStr">
        <is>
          <t>Mes</t>
        </is>
      </c>
      <c r="C7" s="18" t="inlineStr">
        <is>
          <t>Aporte previsto</t>
        </is>
      </c>
      <c r="D7" s="18" t="inlineStr">
        <is>
          <t>Aporte real</t>
        </is>
      </c>
      <c r="E7" s="18" t="inlineStr">
        <is>
          <t>Acumulado previsto</t>
        </is>
      </c>
      <c r="F7" s="18" t="inlineStr">
        <is>
          <t>Acumulado real</t>
        </is>
      </c>
      <c r="G7" s="18" t="inlineStr">
        <is>
          <t>Diferencia</t>
        </is>
      </c>
      <c r="H7" s="18" t="inlineStr">
        <is>
          <t>Estado</t>
        </is>
      </c>
    </row>
    <row r="8">
      <c r="B8" s="31">
        <f>IF(1&lt;=Panel!$I$15,EDATE(DATE(YEAR(Panel!$C$17),MONTH(Panel!$C$17),1),1-1),"")</f>
        <v/>
      </c>
      <c r="C8" s="20">
        <f>IF(B8="","",Panel!$B$9)</f>
        <v/>
      </c>
      <c r="D8" s="27" t="n">
        <v>250</v>
      </c>
      <c r="E8" s="20">
        <f>IF(B8="","",Panel!$C$18+C8*1)</f>
        <v/>
      </c>
      <c r="F8" s="28">
        <f>IF(OR(B8="",D8=""),"",Panel!$C$18+SUM($D$8:D8))</f>
        <v/>
      </c>
      <c r="G8" s="20">
        <f>IF(F8="","",F8-E8)</f>
        <v/>
      </c>
      <c r="H8" s="29">
        <f>IF(B8="","",IF(D8="","Pendiente",IF(G8&gt;=0,"Al día","Por debajo")))</f>
        <v/>
      </c>
    </row>
    <row r="9">
      <c r="B9" s="31">
        <f>IF(2&lt;=Panel!$I$15,EDATE(DATE(YEAR(Panel!$C$17),MONTH(Panel!$C$17),1),2-1),"")</f>
        <v/>
      </c>
      <c r="C9" s="20">
        <f>IF(B9="","",Panel!$B$9)</f>
        <v/>
      </c>
      <c r="D9" s="27" t="n">
        <v>300</v>
      </c>
      <c r="E9" s="20">
        <f>IF(B9="","",Panel!$C$18+C9*2)</f>
        <v/>
      </c>
      <c r="F9" s="28">
        <f>IF(OR(B9="",D9=""),"",Panel!$C$18+SUM($D$8:D9))</f>
        <v/>
      </c>
      <c r="G9" s="20">
        <f>IF(F9="","",F9-E9)</f>
        <v/>
      </c>
      <c r="H9" s="29">
        <f>IF(B9="","",IF(D9="","Pendiente",IF(G9&gt;=0,"Al día","Por debajo")))</f>
        <v/>
      </c>
    </row>
    <row r="10">
      <c r="B10" s="31">
        <f>IF(3&lt;=Panel!$I$15,EDATE(DATE(YEAR(Panel!$C$17),MONTH(Panel!$C$17),1),3-1),"")</f>
        <v/>
      </c>
      <c r="C10" s="20">
        <f>IF(B10="","",Panel!$B$9)</f>
        <v/>
      </c>
      <c r="D10" s="27" t="n">
        <v>200</v>
      </c>
      <c r="E10" s="20">
        <f>IF(B10="","",Panel!$C$18+C10*3)</f>
        <v/>
      </c>
      <c r="F10" s="28">
        <f>IF(OR(B10="",D10=""),"",Panel!$C$18+SUM($D$8:D10))</f>
        <v/>
      </c>
      <c r="G10" s="20">
        <f>IF(F10="","",F10-E10)</f>
        <v/>
      </c>
      <c r="H10" s="29">
        <f>IF(B10="","",IF(D10="","Pendiente",IF(G10&gt;=0,"Al día","Por debajo")))</f>
        <v/>
      </c>
    </row>
    <row r="11">
      <c r="B11" s="31">
        <f>IF(4&lt;=Panel!$I$15,EDATE(DATE(YEAR(Panel!$C$17),MONTH(Panel!$C$17),1),4-1),"")</f>
        <v/>
      </c>
      <c r="C11" s="20">
        <f>IF(B11="","",Panel!$B$9)</f>
        <v/>
      </c>
      <c r="D11" s="27" t="n">
        <v>300</v>
      </c>
      <c r="E11" s="20">
        <f>IF(B11="","",Panel!$C$18+C11*4)</f>
        <v/>
      </c>
      <c r="F11" s="28">
        <f>IF(OR(B11="",D11=""),"",Panel!$C$18+SUM($D$8:D11))</f>
        <v/>
      </c>
      <c r="G11" s="20">
        <f>IF(F11="","",F11-E11)</f>
        <v/>
      </c>
      <c r="H11" s="29">
        <f>IF(B11="","",IF(D11="","Pendiente",IF(G11&gt;=0,"Al día","Por debajo")))</f>
        <v/>
      </c>
    </row>
    <row r="12">
      <c r="B12" s="31">
        <f>IF(5&lt;=Panel!$I$15,EDATE(DATE(YEAR(Panel!$C$17),MONTH(Panel!$C$17),1),5-1),"")</f>
        <v/>
      </c>
      <c r="C12" s="20">
        <f>IF(B12="","",Panel!$B$9)</f>
        <v/>
      </c>
      <c r="D12" s="27" t="n"/>
      <c r="E12" s="20">
        <f>IF(B12="","",Panel!$C$18+C12*5)</f>
        <v/>
      </c>
      <c r="F12" s="28">
        <f>IF(OR(B12="",D12=""),"",Panel!$C$18+SUM($D$8:D12))</f>
        <v/>
      </c>
      <c r="G12" s="20">
        <f>IF(F12="","",F12-E12)</f>
        <v/>
      </c>
      <c r="H12" s="29">
        <f>IF(B12="","",IF(D12="","Pendiente",IF(G12&gt;=0,"Al día","Por debajo")))</f>
        <v/>
      </c>
    </row>
    <row r="13">
      <c r="B13" s="31">
        <f>IF(6&lt;=Panel!$I$15,EDATE(DATE(YEAR(Panel!$C$17),MONTH(Panel!$C$17),1),6-1),"")</f>
        <v/>
      </c>
      <c r="C13" s="20">
        <f>IF(B13="","",Panel!$B$9)</f>
        <v/>
      </c>
      <c r="D13" s="27" t="n"/>
      <c r="E13" s="20">
        <f>IF(B13="","",Panel!$C$18+C13*6)</f>
        <v/>
      </c>
      <c r="F13" s="28">
        <f>IF(OR(B13="",D13=""),"",Panel!$C$18+SUM($D$8:D13))</f>
        <v/>
      </c>
      <c r="G13" s="20">
        <f>IF(F13="","",F13-E13)</f>
        <v/>
      </c>
      <c r="H13" s="29">
        <f>IF(B13="","",IF(D13="","Pendiente",IF(G13&gt;=0,"Al día","Por debajo")))</f>
        <v/>
      </c>
    </row>
    <row r="14">
      <c r="B14" s="31">
        <f>IF(7&lt;=Panel!$I$15,EDATE(DATE(YEAR(Panel!$C$17),MONTH(Panel!$C$17),1),7-1),"")</f>
        <v/>
      </c>
      <c r="C14" s="20">
        <f>IF(B14="","",Panel!$B$9)</f>
        <v/>
      </c>
      <c r="D14" s="27" t="n"/>
      <c r="E14" s="20">
        <f>IF(B14="","",Panel!$C$18+C14*7)</f>
        <v/>
      </c>
      <c r="F14" s="28">
        <f>IF(OR(B14="",D14=""),"",Panel!$C$18+SUM($D$8:D14))</f>
        <v/>
      </c>
      <c r="G14" s="20">
        <f>IF(F14="","",F14-E14)</f>
        <v/>
      </c>
      <c r="H14" s="29">
        <f>IF(B14="","",IF(D14="","Pendiente",IF(G14&gt;=0,"Al día","Por debajo")))</f>
        <v/>
      </c>
    </row>
    <row r="15">
      <c r="B15" s="31">
        <f>IF(8&lt;=Panel!$I$15,EDATE(DATE(YEAR(Panel!$C$17),MONTH(Panel!$C$17),1),8-1),"")</f>
        <v/>
      </c>
      <c r="C15" s="20">
        <f>IF(B15="","",Panel!$B$9)</f>
        <v/>
      </c>
      <c r="D15" s="27" t="n"/>
      <c r="E15" s="20">
        <f>IF(B15="","",Panel!$C$18+C15*8)</f>
        <v/>
      </c>
      <c r="F15" s="28">
        <f>IF(OR(B15="",D15=""),"",Panel!$C$18+SUM($D$8:D15))</f>
        <v/>
      </c>
      <c r="G15" s="20">
        <f>IF(F15="","",F15-E15)</f>
        <v/>
      </c>
      <c r="H15" s="29">
        <f>IF(B15="","",IF(D15="","Pendiente",IF(G15&gt;=0,"Al día","Por debajo")))</f>
        <v/>
      </c>
    </row>
    <row r="16">
      <c r="B16" s="31">
        <f>IF(9&lt;=Panel!$I$15,EDATE(DATE(YEAR(Panel!$C$17),MONTH(Panel!$C$17),1),9-1),"")</f>
        <v/>
      </c>
      <c r="C16" s="20">
        <f>IF(B16="","",Panel!$B$9)</f>
        <v/>
      </c>
      <c r="D16" s="27" t="n"/>
      <c r="E16" s="20">
        <f>IF(B16="","",Panel!$C$18+C16*9)</f>
        <v/>
      </c>
      <c r="F16" s="28">
        <f>IF(OR(B16="",D16=""),"",Panel!$C$18+SUM($D$8:D16))</f>
        <v/>
      </c>
      <c r="G16" s="20">
        <f>IF(F16="","",F16-E16)</f>
        <v/>
      </c>
      <c r="H16" s="29">
        <f>IF(B16="","",IF(D16="","Pendiente",IF(G16&gt;=0,"Al día","Por debajo")))</f>
        <v/>
      </c>
    </row>
    <row r="17">
      <c r="B17" s="31">
        <f>IF(10&lt;=Panel!$I$15,EDATE(DATE(YEAR(Panel!$C$17),MONTH(Panel!$C$17),1),10-1),"")</f>
        <v/>
      </c>
      <c r="C17" s="20">
        <f>IF(B17="","",Panel!$B$9)</f>
        <v/>
      </c>
      <c r="D17" s="27" t="n"/>
      <c r="E17" s="20">
        <f>IF(B17="","",Panel!$C$18+C17*10)</f>
        <v/>
      </c>
      <c r="F17" s="28">
        <f>IF(OR(B17="",D17=""),"",Panel!$C$18+SUM($D$8:D17))</f>
        <v/>
      </c>
      <c r="G17" s="20">
        <f>IF(F17="","",F17-E17)</f>
        <v/>
      </c>
      <c r="H17" s="29">
        <f>IF(B17="","",IF(D17="","Pendiente",IF(G17&gt;=0,"Al día","Por debajo")))</f>
        <v/>
      </c>
    </row>
    <row r="18">
      <c r="B18" s="31">
        <f>IF(11&lt;=Panel!$I$15,EDATE(DATE(YEAR(Panel!$C$17),MONTH(Panel!$C$17),1),11-1),"")</f>
        <v/>
      </c>
      <c r="C18" s="20">
        <f>IF(B18="","",Panel!$B$9)</f>
        <v/>
      </c>
      <c r="D18" s="27" t="n"/>
      <c r="E18" s="20">
        <f>IF(B18="","",Panel!$C$18+C18*11)</f>
        <v/>
      </c>
      <c r="F18" s="28">
        <f>IF(OR(B18="",D18=""),"",Panel!$C$18+SUM($D$8:D18))</f>
        <v/>
      </c>
      <c r="G18" s="20">
        <f>IF(F18="","",F18-E18)</f>
        <v/>
      </c>
      <c r="H18" s="29">
        <f>IF(B18="","",IF(D18="","Pendiente",IF(G18&gt;=0,"Al día","Por debajo")))</f>
        <v/>
      </c>
    </row>
    <row r="19">
      <c r="B19" s="31">
        <f>IF(12&lt;=Panel!$I$15,EDATE(DATE(YEAR(Panel!$C$17),MONTH(Panel!$C$17),1),12-1),"")</f>
        <v/>
      </c>
      <c r="C19" s="20">
        <f>IF(B19="","",Panel!$B$9)</f>
        <v/>
      </c>
      <c r="D19" s="27" t="n"/>
      <c r="E19" s="20">
        <f>IF(B19="","",Panel!$C$18+C19*12)</f>
        <v/>
      </c>
      <c r="F19" s="28">
        <f>IF(OR(B19="",D19=""),"",Panel!$C$18+SUM($D$8:D19))</f>
        <v/>
      </c>
      <c r="G19" s="20">
        <f>IF(F19="","",F19-E19)</f>
        <v/>
      </c>
      <c r="H19" s="29">
        <f>IF(B19="","",IF(D19="","Pendiente",IF(G19&gt;=0,"Al día","Por debajo")))</f>
        <v/>
      </c>
    </row>
    <row r="20">
      <c r="B20" s="31">
        <f>IF(13&lt;=Panel!$I$15,EDATE(DATE(YEAR(Panel!$C$17),MONTH(Panel!$C$17),1),13-1),"")</f>
        <v/>
      </c>
      <c r="C20" s="20">
        <f>IF(B20="","",Panel!$B$9)</f>
        <v/>
      </c>
      <c r="D20" s="27" t="n"/>
      <c r="E20" s="20">
        <f>IF(B20="","",Panel!$C$18+C20*13)</f>
        <v/>
      </c>
      <c r="F20" s="28">
        <f>IF(OR(B20="",D20=""),"",Panel!$C$18+SUM($D$8:D20))</f>
        <v/>
      </c>
      <c r="G20" s="20">
        <f>IF(F20="","",F20-E20)</f>
        <v/>
      </c>
      <c r="H20" s="29">
        <f>IF(B20="","",IF(D20="","Pendiente",IF(G20&gt;=0,"Al día","Por debajo")))</f>
        <v/>
      </c>
    </row>
    <row r="21">
      <c r="B21" s="31">
        <f>IF(14&lt;=Panel!$I$15,EDATE(DATE(YEAR(Panel!$C$17),MONTH(Panel!$C$17),1),14-1),"")</f>
        <v/>
      </c>
      <c r="C21" s="20">
        <f>IF(B21="","",Panel!$B$9)</f>
        <v/>
      </c>
      <c r="D21" s="27" t="n"/>
      <c r="E21" s="20">
        <f>IF(B21="","",Panel!$C$18+C21*14)</f>
        <v/>
      </c>
      <c r="F21" s="28">
        <f>IF(OR(B21="",D21=""),"",Panel!$C$18+SUM($D$8:D21))</f>
        <v/>
      </c>
      <c r="G21" s="20">
        <f>IF(F21="","",F21-E21)</f>
        <v/>
      </c>
      <c r="H21" s="29">
        <f>IF(B21="","",IF(D21="","Pendiente",IF(G21&gt;=0,"Al día","Por debajo")))</f>
        <v/>
      </c>
    </row>
    <row r="22">
      <c r="B22" s="31">
        <f>IF(15&lt;=Panel!$I$15,EDATE(DATE(YEAR(Panel!$C$17),MONTH(Panel!$C$17),1),15-1),"")</f>
        <v/>
      </c>
      <c r="C22" s="20">
        <f>IF(B22="","",Panel!$B$9)</f>
        <v/>
      </c>
      <c r="D22" s="27" t="n"/>
      <c r="E22" s="20">
        <f>IF(B22="","",Panel!$C$18+C22*15)</f>
        <v/>
      </c>
      <c r="F22" s="28">
        <f>IF(OR(B22="",D22=""),"",Panel!$C$18+SUM($D$8:D22))</f>
        <v/>
      </c>
      <c r="G22" s="20">
        <f>IF(F22="","",F22-E22)</f>
        <v/>
      </c>
      <c r="H22" s="29">
        <f>IF(B22="","",IF(D22="","Pendiente",IF(G22&gt;=0,"Al día","Por debajo")))</f>
        <v/>
      </c>
    </row>
    <row r="23">
      <c r="B23" s="31">
        <f>IF(16&lt;=Panel!$I$15,EDATE(DATE(YEAR(Panel!$C$17),MONTH(Panel!$C$17),1),16-1),"")</f>
        <v/>
      </c>
      <c r="C23" s="20">
        <f>IF(B23="","",Panel!$B$9)</f>
        <v/>
      </c>
      <c r="D23" s="27" t="n"/>
      <c r="E23" s="20">
        <f>IF(B23="","",Panel!$C$18+C23*16)</f>
        <v/>
      </c>
      <c r="F23" s="28">
        <f>IF(OR(B23="",D23=""),"",Panel!$C$18+SUM($D$8:D23))</f>
        <v/>
      </c>
      <c r="G23" s="20">
        <f>IF(F23="","",F23-E23)</f>
        <v/>
      </c>
      <c r="H23" s="29">
        <f>IF(B23="","",IF(D23="","Pendiente",IF(G23&gt;=0,"Al día","Por debajo")))</f>
        <v/>
      </c>
    </row>
    <row r="24">
      <c r="B24" s="31">
        <f>IF(17&lt;=Panel!$I$15,EDATE(DATE(YEAR(Panel!$C$17),MONTH(Panel!$C$17),1),17-1),"")</f>
        <v/>
      </c>
      <c r="C24" s="20">
        <f>IF(B24="","",Panel!$B$9)</f>
        <v/>
      </c>
      <c r="D24" s="27" t="n"/>
      <c r="E24" s="20">
        <f>IF(B24="","",Panel!$C$18+C24*17)</f>
        <v/>
      </c>
      <c r="F24" s="28">
        <f>IF(OR(B24="",D24=""),"",Panel!$C$18+SUM($D$8:D24))</f>
        <v/>
      </c>
      <c r="G24" s="20">
        <f>IF(F24="","",F24-E24)</f>
        <v/>
      </c>
      <c r="H24" s="29">
        <f>IF(B24="","",IF(D24="","Pendiente",IF(G24&gt;=0,"Al día","Por debajo")))</f>
        <v/>
      </c>
    </row>
    <row r="25">
      <c r="B25" s="31">
        <f>IF(18&lt;=Panel!$I$15,EDATE(DATE(YEAR(Panel!$C$17),MONTH(Panel!$C$17),1),18-1),"")</f>
        <v/>
      </c>
      <c r="C25" s="20">
        <f>IF(B25="","",Panel!$B$9)</f>
        <v/>
      </c>
      <c r="D25" s="27" t="n"/>
      <c r="E25" s="20">
        <f>IF(B25="","",Panel!$C$18+C25*18)</f>
        <v/>
      </c>
      <c r="F25" s="28">
        <f>IF(OR(B25="",D25=""),"",Panel!$C$18+SUM($D$8:D25))</f>
        <v/>
      </c>
      <c r="G25" s="20">
        <f>IF(F25="","",F25-E25)</f>
        <v/>
      </c>
      <c r="H25" s="29">
        <f>IF(B25="","",IF(D25="","Pendiente",IF(G25&gt;=0,"Al día","Por debajo")))</f>
        <v/>
      </c>
    </row>
    <row r="26">
      <c r="B26" s="31">
        <f>IF(19&lt;=Panel!$I$15,EDATE(DATE(YEAR(Panel!$C$17),MONTH(Panel!$C$17),1),19-1),"")</f>
        <v/>
      </c>
      <c r="C26" s="20">
        <f>IF(B26="","",Panel!$B$9)</f>
        <v/>
      </c>
      <c r="D26" s="27" t="n"/>
      <c r="E26" s="20">
        <f>IF(B26="","",Panel!$C$18+C26*19)</f>
        <v/>
      </c>
      <c r="F26" s="28">
        <f>IF(OR(B26="",D26=""),"",Panel!$C$18+SUM($D$8:D26))</f>
        <v/>
      </c>
      <c r="G26" s="20">
        <f>IF(F26="","",F26-E26)</f>
        <v/>
      </c>
      <c r="H26" s="29">
        <f>IF(B26="","",IF(D26="","Pendiente",IF(G26&gt;=0,"Al día","Por debajo")))</f>
        <v/>
      </c>
    </row>
    <row r="27">
      <c r="B27" s="31">
        <f>IF(20&lt;=Panel!$I$15,EDATE(DATE(YEAR(Panel!$C$17),MONTH(Panel!$C$17),1),20-1),"")</f>
        <v/>
      </c>
      <c r="C27" s="20">
        <f>IF(B27="","",Panel!$B$9)</f>
        <v/>
      </c>
      <c r="D27" s="27" t="n"/>
      <c r="E27" s="20">
        <f>IF(B27="","",Panel!$C$18+C27*20)</f>
        <v/>
      </c>
      <c r="F27" s="28">
        <f>IF(OR(B27="",D27=""),"",Panel!$C$18+SUM($D$8:D27))</f>
        <v/>
      </c>
      <c r="G27" s="20">
        <f>IF(F27="","",F27-E27)</f>
        <v/>
      </c>
      <c r="H27" s="29">
        <f>IF(B27="","",IF(D27="","Pendiente",IF(G27&gt;=0,"Al día","Por debajo")))</f>
        <v/>
      </c>
    </row>
    <row r="28">
      <c r="B28" s="31">
        <f>IF(21&lt;=Panel!$I$15,EDATE(DATE(YEAR(Panel!$C$17),MONTH(Panel!$C$17),1),21-1),"")</f>
        <v/>
      </c>
      <c r="C28" s="20">
        <f>IF(B28="","",Panel!$B$9)</f>
        <v/>
      </c>
      <c r="D28" s="27" t="n"/>
      <c r="E28" s="20">
        <f>IF(B28="","",Panel!$C$18+C28*21)</f>
        <v/>
      </c>
      <c r="F28" s="28">
        <f>IF(OR(B28="",D28=""),"",Panel!$C$18+SUM($D$8:D28))</f>
        <v/>
      </c>
      <c r="G28" s="20">
        <f>IF(F28="","",F28-E28)</f>
        <v/>
      </c>
      <c r="H28" s="29">
        <f>IF(B28="","",IF(D28="","Pendiente",IF(G28&gt;=0,"Al día","Por debajo")))</f>
        <v/>
      </c>
    </row>
    <row r="29">
      <c r="B29" s="31">
        <f>IF(22&lt;=Panel!$I$15,EDATE(DATE(YEAR(Panel!$C$17),MONTH(Panel!$C$17),1),22-1),"")</f>
        <v/>
      </c>
      <c r="C29" s="20">
        <f>IF(B29="","",Panel!$B$9)</f>
        <v/>
      </c>
      <c r="D29" s="27" t="n"/>
      <c r="E29" s="20">
        <f>IF(B29="","",Panel!$C$18+C29*22)</f>
        <v/>
      </c>
      <c r="F29" s="28">
        <f>IF(OR(B29="",D29=""),"",Panel!$C$18+SUM($D$8:D29))</f>
        <v/>
      </c>
      <c r="G29" s="20">
        <f>IF(F29="","",F29-E29)</f>
        <v/>
      </c>
      <c r="H29" s="29">
        <f>IF(B29="","",IF(D29="","Pendiente",IF(G29&gt;=0,"Al día","Por debajo")))</f>
        <v/>
      </c>
    </row>
    <row r="30">
      <c r="B30" s="31">
        <f>IF(23&lt;=Panel!$I$15,EDATE(DATE(YEAR(Panel!$C$17),MONTH(Panel!$C$17),1),23-1),"")</f>
        <v/>
      </c>
      <c r="C30" s="20">
        <f>IF(B30="","",Panel!$B$9)</f>
        <v/>
      </c>
      <c r="D30" s="27" t="n"/>
      <c r="E30" s="20">
        <f>IF(B30="","",Panel!$C$18+C30*23)</f>
        <v/>
      </c>
      <c r="F30" s="28">
        <f>IF(OR(B30="",D30=""),"",Panel!$C$18+SUM($D$8:D30))</f>
        <v/>
      </c>
      <c r="G30" s="20">
        <f>IF(F30="","",F30-E30)</f>
        <v/>
      </c>
      <c r="H30" s="29">
        <f>IF(B30="","",IF(D30="","Pendiente",IF(G30&gt;=0,"Al día","Por debajo")))</f>
        <v/>
      </c>
    </row>
    <row r="31">
      <c r="B31" s="31">
        <f>IF(24&lt;=Panel!$I$15,EDATE(DATE(YEAR(Panel!$C$17),MONTH(Panel!$C$17),1),24-1),"")</f>
        <v/>
      </c>
      <c r="C31" s="20">
        <f>IF(B31="","",Panel!$B$9)</f>
        <v/>
      </c>
      <c r="D31" s="27" t="n"/>
      <c r="E31" s="20">
        <f>IF(B31="","",Panel!$C$18+C31*24)</f>
        <v/>
      </c>
      <c r="F31" s="28">
        <f>IF(OR(B31="",D31=""),"",Panel!$C$18+SUM($D$8:D31))</f>
        <v/>
      </c>
      <c r="G31" s="20">
        <f>IF(F31="","",F31-E31)</f>
        <v/>
      </c>
      <c r="H31" s="29">
        <f>IF(B31="","",IF(D31="","Pendiente",IF(G31&gt;=0,"Al día","Por debajo")))</f>
        <v/>
      </c>
    </row>
    <row r="32">
      <c r="B32" s="31">
        <f>IF(25&lt;=Panel!$I$15,EDATE(DATE(YEAR(Panel!$C$17),MONTH(Panel!$C$17),1),25-1),"")</f>
        <v/>
      </c>
      <c r="C32" s="20">
        <f>IF(B32="","",Panel!$B$9)</f>
        <v/>
      </c>
      <c r="D32" s="27" t="n"/>
      <c r="E32" s="20">
        <f>IF(B32="","",Panel!$C$18+C32*25)</f>
        <v/>
      </c>
      <c r="F32" s="28">
        <f>IF(OR(B32="",D32=""),"",Panel!$C$18+SUM($D$8:D32))</f>
        <v/>
      </c>
      <c r="G32" s="20">
        <f>IF(F32="","",F32-E32)</f>
        <v/>
      </c>
      <c r="H32" s="29">
        <f>IF(B32="","",IF(D32="","Pendiente",IF(G32&gt;=0,"Al día","Por debajo")))</f>
        <v/>
      </c>
    </row>
    <row r="33">
      <c r="B33" s="31">
        <f>IF(26&lt;=Panel!$I$15,EDATE(DATE(YEAR(Panel!$C$17),MONTH(Panel!$C$17),1),26-1),"")</f>
        <v/>
      </c>
      <c r="C33" s="20">
        <f>IF(B33="","",Panel!$B$9)</f>
        <v/>
      </c>
      <c r="D33" s="27" t="n"/>
      <c r="E33" s="20">
        <f>IF(B33="","",Panel!$C$18+C33*26)</f>
        <v/>
      </c>
      <c r="F33" s="28">
        <f>IF(OR(B33="",D33=""),"",Panel!$C$18+SUM($D$8:D33))</f>
        <v/>
      </c>
      <c r="G33" s="20">
        <f>IF(F33="","",F33-E33)</f>
        <v/>
      </c>
      <c r="H33" s="29">
        <f>IF(B33="","",IF(D33="","Pendiente",IF(G33&gt;=0,"Al día","Por debajo")))</f>
        <v/>
      </c>
    </row>
    <row r="34">
      <c r="B34" s="31">
        <f>IF(27&lt;=Panel!$I$15,EDATE(DATE(YEAR(Panel!$C$17),MONTH(Panel!$C$17),1),27-1),"")</f>
        <v/>
      </c>
      <c r="C34" s="20">
        <f>IF(B34="","",Panel!$B$9)</f>
        <v/>
      </c>
      <c r="D34" s="27" t="n"/>
      <c r="E34" s="20">
        <f>IF(B34="","",Panel!$C$18+C34*27)</f>
        <v/>
      </c>
      <c r="F34" s="28">
        <f>IF(OR(B34="",D34=""),"",Panel!$C$18+SUM($D$8:D34))</f>
        <v/>
      </c>
      <c r="G34" s="20">
        <f>IF(F34="","",F34-E34)</f>
        <v/>
      </c>
      <c r="H34" s="29">
        <f>IF(B34="","",IF(D34="","Pendiente",IF(G34&gt;=0,"Al día","Por debajo")))</f>
        <v/>
      </c>
    </row>
    <row r="35">
      <c r="B35" s="31">
        <f>IF(28&lt;=Panel!$I$15,EDATE(DATE(YEAR(Panel!$C$17),MONTH(Panel!$C$17),1),28-1),"")</f>
        <v/>
      </c>
      <c r="C35" s="20">
        <f>IF(B35="","",Panel!$B$9)</f>
        <v/>
      </c>
      <c r="D35" s="27" t="n"/>
      <c r="E35" s="20">
        <f>IF(B35="","",Panel!$C$18+C35*28)</f>
        <v/>
      </c>
      <c r="F35" s="28">
        <f>IF(OR(B35="",D35=""),"",Panel!$C$18+SUM($D$8:D35))</f>
        <v/>
      </c>
      <c r="G35" s="20">
        <f>IF(F35="","",F35-E35)</f>
        <v/>
      </c>
      <c r="H35" s="29">
        <f>IF(B35="","",IF(D35="","Pendiente",IF(G35&gt;=0,"Al día","Por debajo")))</f>
        <v/>
      </c>
    </row>
    <row r="36">
      <c r="B36" s="31">
        <f>IF(29&lt;=Panel!$I$15,EDATE(DATE(YEAR(Panel!$C$17),MONTH(Panel!$C$17),1),29-1),"")</f>
        <v/>
      </c>
      <c r="C36" s="20">
        <f>IF(B36="","",Panel!$B$9)</f>
        <v/>
      </c>
      <c r="D36" s="27" t="n"/>
      <c r="E36" s="20">
        <f>IF(B36="","",Panel!$C$18+C36*29)</f>
        <v/>
      </c>
      <c r="F36" s="28">
        <f>IF(OR(B36="",D36=""),"",Panel!$C$18+SUM($D$8:D36))</f>
        <v/>
      </c>
      <c r="G36" s="20">
        <f>IF(F36="","",F36-E36)</f>
        <v/>
      </c>
      <c r="H36" s="29">
        <f>IF(B36="","",IF(D36="","Pendiente",IF(G36&gt;=0,"Al día","Por debajo")))</f>
        <v/>
      </c>
    </row>
    <row r="37">
      <c r="B37" s="31">
        <f>IF(30&lt;=Panel!$I$15,EDATE(DATE(YEAR(Panel!$C$17),MONTH(Panel!$C$17),1),30-1),"")</f>
        <v/>
      </c>
      <c r="C37" s="20">
        <f>IF(B37="","",Panel!$B$9)</f>
        <v/>
      </c>
      <c r="D37" s="27" t="n"/>
      <c r="E37" s="20">
        <f>IF(B37="","",Panel!$C$18+C37*30)</f>
        <v/>
      </c>
      <c r="F37" s="28">
        <f>IF(OR(B37="",D37=""),"",Panel!$C$18+SUM($D$8:D37))</f>
        <v/>
      </c>
      <c r="G37" s="20">
        <f>IF(F37="","",F37-E37)</f>
        <v/>
      </c>
      <c r="H37" s="29">
        <f>IF(B37="","",IF(D37="","Pendiente",IF(G37&gt;=0,"Al día","Por debajo")))</f>
        <v/>
      </c>
    </row>
    <row r="38">
      <c r="B38" s="31">
        <f>IF(31&lt;=Panel!$I$15,EDATE(DATE(YEAR(Panel!$C$17),MONTH(Panel!$C$17),1),31-1),"")</f>
        <v/>
      </c>
      <c r="C38" s="20">
        <f>IF(B38="","",Panel!$B$9)</f>
        <v/>
      </c>
      <c r="D38" s="27" t="n"/>
      <c r="E38" s="20">
        <f>IF(B38="","",Panel!$C$18+C38*31)</f>
        <v/>
      </c>
      <c r="F38" s="28">
        <f>IF(OR(B38="",D38=""),"",Panel!$C$18+SUM($D$8:D38))</f>
        <v/>
      </c>
      <c r="G38" s="20">
        <f>IF(F38="","",F38-E38)</f>
        <v/>
      </c>
      <c r="H38" s="29">
        <f>IF(B38="","",IF(D38="","Pendiente",IF(G38&gt;=0,"Al día","Por debajo")))</f>
        <v/>
      </c>
    </row>
    <row r="39">
      <c r="B39" s="31">
        <f>IF(32&lt;=Panel!$I$15,EDATE(DATE(YEAR(Panel!$C$17),MONTH(Panel!$C$17),1),32-1),"")</f>
        <v/>
      </c>
      <c r="C39" s="20">
        <f>IF(B39="","",Panel!$B$9)</f>
        <v/>
      </c>
      <c r="D39" s="27" t="n"/>
      <c r="E39" s="20">
        <f>IF(B39="","",Panel!$C$18+C39*32)</f>
        <v/>
      </c>
      <c r="F39" s="28">
        <f>IF(OR(B39="",D39=""),"",Panel!$C$18+SUM($D$8:D39))</f>
        <v/>
      </c>
      <c r="G39" s="20">
        <f>IF(F39="","",F39-E39)</f>
        <v/>
      </c>
      <c r="H39" s="29">
        <f>IF(B39="","",IF(D39="","Pendiente",IF(G39&gt;=0,"Al día","Por debajo")))</f>
        <v/>
      </c>
    </row>
    <row r="40">
      <c r="B40" s="31">
        <f>IF(33&lt;=Panel!$I$15,EDATE(DATE(YEAR(Panel!$C$17),MONTH(Panel!$C$17),1),33-1),"")</f>
        <v/>
      </c>
      <c r="C40" s="20">
        <f>IF(B40="","",Panel!$B$9)</f>
        <v/>
      </c>
      <c r="D40" s="27" t="n"/>
      <c r="E40" s="20">
        <f>IF(B40="","",Panel!$C$18+C40*33)</f>
        <v/>
      </c>
      <c r="F40" s="28">
        <f>IF(OR(B40="",D40=""),"",Panel!$C$18+SUM($D$8:D40))</f>
        <v/>
      </c>
      <c r="G40" s="20">
        <f>IF(F40="","",F40-E40)</f>
        <v/>
      </c>
      <c r="H40" s="29">
        <f>IF(B40="","",IF(D40="","Pendiente",IF(G40&gt;=0,"Al día","Por debajo")))</f>
        <v/>
      </c>
    </row>
    <row r="41">
      <c r="B41" s="31">
        <f>IF(34&lt;=Panel!$I$15,EDATE(DATE(YEAR(Panel!$C$17),MONTH(Panel!$C$17),1),34-1),"")</f>
        <v/>
      </c>
      <c r="C41" s="20">
        <f>IF(B41="","",Panel!$B$9)</f>
        <v/>
      </c>
      <c r="D41" s="27" t="n"/>
      <c r="E41" s="20">
        <f>IF(B41="","",Panel!$C$18+C41*34)</f>
        <v/>
      </c>
      <c r="F41" s="28">
        <f>IF(OR(B41="",D41=""),"",Panel!$C$18+SUM($D$8:D41))</f>
        <v/>
      </c>
      <c r="G41" s="20">
        <f>IF(F41="","",F41-E41)</f>
        <v/>
      </c>
      <c r="H41" s="29">
        <f>IF(B41="","",IF(D41="","Pendiente",IF(G41&gt;=0,"Al día","Por debajo")))</f>
        <v/>
      </c>
    </row>
    <row r="42">
      <c r="B42" s="31">
        <f>IF(35&lt;=Panel!$I$15,EDATE(DATE(YEAR(Panel!$C$17),MONTH(Panel!$C$17),1),35-1),"")</f>
        <v/>
      </c>
      <c r="C42" s="20">
        <f>IF(B42="","",Panel!$B$9)</f>
        <v/>
      </c>
      <c r="D42" s="27" t="n"/>
      <c r="E42" s="20">
        <f>IF(B42="","",Panel!$C$18+C42*35)</f>
        <v/>
      </c>
      <c r="F42" s="28">
        <f>IF(OR(B42="",D42=""),"",Panel!$C$18+SUM($D$8:D42))</f>
        <v/>
      </c>
      <c r="G42" s="20">
        <f>IF(F42="","",F42-E42)</f>
        <v/>
      </c>
      <c r="H42" s="29">
        <f>IF(B42="","",IF(D42="","Pendiente",IF(G42&gt;=0,"Al día","Por debajo")))</f>
        <v/>
      </c>
    </row>
    <row r="43">
      <c r="B43" s="31">
        <f>IF(36&lt;=Panel!$I$15,EDATE(DATE(YEAR(Panel!$C$17),MONTH(Panel!$C$17),1),36-1),"")</f>
        <v/>
      </c>
      <c r="C43" s="20">
        <f>IF(B43="","",Panel!$B$9)</f>
        <v/>
      </c>
      <c r="D43" s="27" t="n"/>
      <c r="E43" s="20">
        <f>IF(B43="","",Panel!$C$18+C43*36)</f>
        <v/>
      </c>
      <c r="F43" s="28">
        <f>IF(OR(B43="",D43=""),"",Panel!$C$18+SUM($D$8:D43))</f>
        <v/>
      </c>
      <c r="G43" s="20">
        <f>IF(F43="","",F43-E43)</f>
        <v/>
      </c>
      <c r="H43" s="29">
        <f>IF(B43="","",IF(D43="","Pendiente",IF(G43&gt;=0,"Al día","Por debajo")))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8:H43">
    <cfRule type="expression" priority="1" dxfId="1">
      <formula>$H8="Por debajo"</formula>
    </cfRule>
    <cfRule type="expression" priority="2" dxfId="2">
      <formula>$H8="Al día"</formula>
    </cfRule>
  </conditionalFormatting>
  <conditionalFormatting sqref="D8:D43">
    <cfRule type="dataBar" priority="3">
      <dataBar>
        <cfvo type="num" val="0"/>
        <cfvo type="max"/>
        <color rgb="0010B981"/>
      </dataBar>
    </cfRule>
  </conditionalFormatting>
  <dataValidations count="1">
    <dataValidation sqref="D8:D43" showDropDown="0" showInputMessage="0" showErrorMessage="1" allowBlank="1" errorTitle="Aportación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Instrucciones: presupuesto de vacaciones en familia</t>
        </is>
      </c>
    </row>
    <row r="3">
      <c r="B3" s="3" t="inlineStr">
        <is>
          <t>Plantilla gratuita de Plantillas de Cálculo · plantillasdecalculo.com</t>
        </is>
      </c>
    </row>
    <row r="5">
      <c r="B5" s="7" t="inlineStr">
        <is>
          <t>CÓMO USARLA</t>
        </is>
      </c>
    </row>
    <row r="6" ht="30" customHeight="1">
      <c r="B6" s="32" t="inlineStr">
        <is>
          <t>1.  En «Panel» rellena los datos del viaje: destino, fecha de salida (C13) y de regreso (C14), número de adultos (C15) y de niños (C16). Los días y las noches se calculan solos.</t>
        </is>
      </c>
    </row>
    <row r="7" ht="30" customHeight="1">
      <c r="B7" s="32" t="inlineStr">
        <is>
          <t>2.  Indica en C17 el mes en que empiezas a ahorrar y en C18 el dinero que ya tienes reservado. En C19 deja un margen de imprevistos (en el ejemplo, un 10 %).</t>
        </is>
      </c>
    </row>
    <row r="8" ht="30" customHeight="1">
      <c r="B8" s="32" t="inlineStr">
        <is>
          <t>3.  En «Partidas» apunta cada gasto: nombre, categoría, a quién aplica (Todos, Adultos o Niños), tipo de coste e importe unitario. La columna «Estimado» multiplica sola por personas, días o noches.</t>
        </is>
      </c>
    </row>
    <row r="9" ht="30" customHeight="1">
      <c r="B9" s="32" t="inlineStr">
        <is>
          <t>4.  Elige el tipo de coste con cuidado: «Fijo» no se multiplica; «Por persona» usa el nº de personas; «Por día» y «Por noche» usan los días o las noches; «Por persona y día» multiplica ambos.</t>
        </is>
      </c>
    </row>
    <row r="10" ht="30" customHeight="1">
      <c r="B10" s="32" t="inlineStr">
        <is>
          <t>5.  Cuando pagues o confirmes un gasto, escribe el importe en «Real». La «Previsión final» usa el real si existe y el estimado si no, y el estado pasa a «En presupuesto» o «Excedido».</t>
        </is>
      </c>
    </row>
    <row r="11" ht="30" customHeight="1">
      <c r="B11" s="32" t="inlineStr">
        <is>
          <t>6.  En «Ahorro» aparece un mes por fila hasta la salida. Escribe lo que aportas cada mes en «Aporte real» y compara el acumulado real con el previsto.</t>
        </is>
      </c>
    </row>
    <row r="12" ht="30" customHeight="1">
      <c r="B12" s="32" t="inlineStr">
        <is>
          <t>7.  Consulta el «Panel»: coste por persona, ahorro mensual necesario, cuánto falta por ahorrar, días para la salida y el gráfico por categorías.</t>
        </is>
      </c>
    </row>
    <row r="13" ht="30" customHeight="1">
      <c r="B13" s="32" t="inlineStr">
        <is>
          <t>8.  Puedes renombrar las categorías en «Panel» (B23:B28); si lo haces, vuelve a elegirlas en las filas de «Partidas» que las usaban.</t>
        </is>
      </c>
    </row>
    <row r="15">
      <c r="B15" s="7" t="inlineStr">
        <is>
          <t>CONSEJOS</t>
        </is>
      </c>
    </row>
    <row r="16" ht="30" customHeight="1">
      <c r="B16" s="32" t="inlineStr">
        <is>
          <t>•  Todos los importes del ejemplo son ficticios y son parámetros editables: sustitúyelos por los precios reales de tu destino.</t>
        </is>
      </c>
    </row>
    <row r="17" ht="30" customHeight="1">
      <c r="B17" s="32" t="inlineStr">
        <is>
          <t>•  Objetivo de ahorro = previsión final × (1 + margen de imprevistos). Ahorro mensual = (objetivo − ahorro ya reservado) ÷ meses hasta la salida.</t>
        </is>
      </c>
    </row>
    <row r="18" ht="30" customHeight="1">
      <c r="B18" s="32" t="inlineStr">
        <is>
          <t>•  La cuota mensual recalculada reparte lo que falta entre los meses en los que aún no has registrado aportación.</t>
        </is>
      </c>
    </row>
    <row r="19" ht="30" customHeight="1">
      <c r="B19" s="32" t="inlineStr">
        <is>
          <t>•  Hay filas preparadas hasta 40 partidas y 36 meses de ahorro. Las hojas están protegidas sin contraseña (Revisar &gt; Desproteger hoja).</t>
        </is>
      </c>
    </row>
    <row r="21">
      <c r="B21" s="25" t="inlineStr">
        <is>
          <t>Las celdas con fondo crema y texto azul son para rellenar; las verdes se calculan solas.</t>
        </is>
      </c>
    </row>
    <row r="23" ht="44" customHeight="1">
      <c r="B23" s="33" t="inlineStr">
        <is>
          <t>Aviso: plantilla de organización y registro del presupuesto familiar, con cálculos orientativos. No constituye asesoramiento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2026-10-03T09:38:59Z</dcterms:created>
  <dcterms:modified xmlns:dcterms="http://purl.org/dc/terms/" xmlns:xsi="http://www.w3.org/2001/XMLSchema-instance" xsi:type="dcterms:W3CDTF">2026-10-03T09:38:59Z</dcterms:modified>
</cp:coreProperties>
</file>