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2.xml" ContentType="application/vnd.openxmlformats-officedocument.drawing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anel" sheetId="1" state="visible" r:id="rId1"/>
    <sheet xmlns:r="http://schemas.openxmlformats.org/officeDocument/2006/relationships" name="Actividades" sheetId="2" state="visible" r:id="rId2"/>
    <sheet xmlns:r="http://schemas.openxmlformats.org/officeDocument/2006/relationships" name="Grupos" sheetId="3" state="visible" r:id="rId3"/>
    <sheet xmlns:r="http://schemas.openxmlformats.org/officeDocument/2006/relationships" name="Instrucciones" sheetId="4" state="visible" r:id="rId4"/>
    <sheet xmlns:r="http://schemas.openxmlformats.org/officeDocument/2006/relationships" name="Listas" sheetId="5" state="hidden" r:id="rId5"/>
  </sheets>
  <definedNames/>
  <calcPr calcId="124519" fullCalcOnLoad="1"/>
</workbook>
</file>

<file path=xl/styles.xml><?xml version="1.0" encoding="utf-8"?>
<styleSheet xmlns="http://schemas.openxmlformats.org/spreadsheetml/2006/main">
  <numFmts count="6">
    <numFmt numFmtId="164" formatCode="#,##0.00 &quot;€&quot;"/>
    <numFmt numFmtId="165" formatCode="0.0"/>
    <numFmt numFmtId="166" formatCode="yyyy-mm-dd"/>
    <numFmt numFmtId="167" formatCode="dd/mm/yyyy"/>
    <numFmt numFmtId="168" formatCode="0.00000"/>
    <numFmt numFmtId="169" formatCode="0.0%"/>
  </numFmts>
  <fonts count="15">
    <font>
      <name val="Calibri"/>
      <family val="2"/>
      <color theme="1"/>
      <sz val="11"/>
      <scheme val="minor"/>
    </font>
    <font>
      <name val="Arial"/>
      <b val="1"/>
      <color rgb="00FFFFFF"/>
      <sz val="18"/>
    </font>
    <font>
      <name val="Arial"/>
      <i val="1"/>
      <color rgb="006B7280"/>
      <sz val="10"/>
    </font>
    <font>
      <name val="Arial"/>
      <b val="1"/>
      <color rgb="00111827"/>
      <sz val="10"/>
    </font>
    <font>
      <name val="Arial"/>
      <color rgb="001D4ED8"/>
      <sz val="10"/>
    </font>
    <font>
      <name val="Arial"/>
      <b val="1"/>
      <color rgb="00FFFFFF"/>
      <sz val="10"/>
    </font>
    <font>
      <name val="Arial"/>
      <color rgb="00047857"/>
      <sz val="10"/>
    </font>
    <font>
      <name val="Arial"/>
      <b val="1"/>
      <color rgb="000B4A2F"/>
      <sz val="11"/>
    </font>
    <font>
      <name val="Arial"/>
      <i val="1"/>
      <color rgb="006B7280"/>
      <sz val="9"/>
    </font>
    <font>
      <name val="Arial"/>
      <color rgb="006B7280"/>
      <sz val="9"/>
    </font>
    <font>
      <name val="Arial"/>
      <b val="1"/>
      <color rgb="006B7280"/>
      <sz val="9"/>
    </font>
    <font>
      <name val="Arial"/>
      <b val="1"/>
      <color rgb="00047857"/>
      <sz val="16"/>
    </font>
    <font>
      <name val="Arial"/>
      <b val="1"/>
      <color rgb="0012744A"/>
      <sz val="11"/>
    </font>
    <font>
      <name val="Arial"/>
      <color rgb="00111827"/>
      <sz val="10"/>
    </font>
    <font>
      <name val="Arial"/>
      <b val="1"/>
      <color rgb="0092400E"/>
      <sz val="10"/>
    </font>
  </fonts>
  <fills count="7">
    <fill>
      <patternFill/>
    </fill>
    <fill>
      <patternFill patternType="gray125"/>
    </fill>
    <fill>
      <patternFill patternType="solid">
        <fgColor rgb="000B4A2F"/>
      </patternFill>
    </fill>
    <fill>
      <patternFill patternType="solid">
        <fgColor rgb="00FFFDF2"/>
      </patternFill>
    </fill>
    <fill>
      <patternFill patternType="solid">
        <fgColor rgb="0012744A"/>
      </patternFill>
    </fill>
    <fill>
      <patternFill patternType="solid">
        <fgColor rgb="00D1FAE5"/>
      </patternFill>
    </fill>
    <fill>
      <patternFill patternType="solid">
        <fgColor rgb="00ECFDF5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0" fillId="2" borderId="0" pivotButton="0" quotePrefix="0" xfId="0"/>
    <xf numFmtId="0" fontId="2" fillId="0" borderId="0" applyAlignment="1" pivotButton="0" quotePrefix="0" xfId="0">
      <alignment vertical="center" indent="1"/>
    </xf>
    <xf numFmtId="0" fontId="10" fillId="6" borderId="0" applyAlignment="1" pivotButton="0" quotePrefix="0" xfId="0">
      <alignment horizontal="center" vertical="center" wrapText="1"/>
    </xf>
    <xf numFmtId="1" fontId="11" fillId="6" borderId="0" applyAlignment="1" pivotButton="0" quotePrefix="0" xfId="0">
      <alignment horizontal="center" vertical="center"/>
    </xf>
    <xf numFmtId="169" fontId="11" fillId="6" borderId="0" applyAlignment="1" pivotButton="0" quotePrefix="0" xfId="0">
      <alignment horizontal="center" vertical="center"/>
    </xf>
    <xf numFmtId="164" fontId="11" fillId="6" borderId="0" applyAlignment="1" pivotButton="0" quotePrefix="0" xfId="0">
      <alignment horizontal="center" vertical="center"/>
    </xf>
    <xf numFmtId="165" fontId="11" fillId="6" borderId="0" applyAlignment="1" pivotButton="0" quotePrefix="0" xfId="0">
      <alignment horizontal="center" vertical="center"/>
    </xf>
    <xf numFmtId="0" fontId="12" fillId="0" borderId="0" applyAlignment="1" pivotButton="0" quotePrefix="0" xfId="0">
      <alignment vertical="center"/>
    </xf>
    <xf numFmtId="0" fontId="5" fillId="4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vertical="center"/>
    </xf>
    <xf numFmtId="1" fontId="6" fillId="0" borderId="1" applyAlignment="1" pivotButton="0" quotePrefix="0" xfId="0">
      <alignment horizontal="center" vertical="center"/>
    </xf>
    <xf numFmtId="9" fontId="6" fillId="0" borderId="1" applyAlignment="1" pivotButton="0" quotePrefix="0" xfId="0">
      <alignment horizontal="center" vertical="center"/>
    </xf>
    <xf numFmtId="164" fontId="6" fillId="0" borderId="1" applyAlignment="1" pivotButton="0" quotePrefix="0" xfId="0">
      <alignment vertical="center"/>
    </xf>
    <xf numFmtId="164" fontId="4" fillId="3" borderId="1" applyAlignment="1" applyProtection="1" pivotButton="0" quotePrefix="0" xfId="0">
      <alignment vertical="center"/>
      <protection locked="0" hidden="0"/>
    </xf>
    <xf numFmtId="0" fontId="6" fillId="0" borderId="1" applyAlignment="1" pivotButton="0" quotePrefix="0" xfId="0">
      <alignment horizontal="center" vertical="center"/>
    </xf>
    <xf numFmtId="0" fontId="7" fillId="5" borderId="1" applyAlignment="1" pivotButton="0" quotePrefix="0" xfId="0">
      <alignment vertical="center"/>
    </xf>
    <xf numFmtId="1" fontId="7" fillId="5" borderId="1" applyAlignment="1" pivotButton="0" quotePrefix="0" xfId="0">
      <alignment vertical="center"/>
    </xf>
    <xf numFmtId="9" fontId="7" fillId="5" borderId="1" applyAlignment="1" pivotButton="0" quotePrefix="0" xfId="0">
      <alignment vertical="center"/>
    </xf>
    <xf numFmtId="164" fontId="7" fillId="5" borderId="1" applyAlignment="1" pivotButton="0" quotePrefix="0" xfId="0">
      <alignment vertical="center"/>
    </xf>
    <xf numFmtId="0" fontId="6" fillId="0" borderId="1" applyAlignment="1" pivotButton="0" quotePrefix="0" xfId="0">
      <alignment vertical="center"/>
    </xf>
    <xf numFmtId="167" fontId="6" fillId="0" borderId="1" applyAlignment="1" pivotButton="0" quotePrefix="0" xfId="0">
      <alignment horizontal="center" vertical="center"/>
    </xf>
    <xf numFmtId="168" fontId="9" fillId="0" borderId="1" applyAlignment="1" pivotButton="0" quotePrefix="0" xfId="0">
      <alignment vertical="center"/>
    </xf>
    <xf numFmtId="0" fontId="3" fillId="0" borderId="0" applyAlignment="1" pivotButton="0" quotePrefix="0" xfId="0">
      <alignment vertical="center"/>
    </xf>
    <xf numFmtId="0" fontId="4" fillId="3" borderId="1" applyAlignment="1" applyProtection="1" pivotButton="0" quotePrefix="0" xfId="0">
      <alignment horizontal="left" vertical="center"/>
      <protection locked="0" hidden="0"/>
    </xf>
    <xf numFmtId="0" fontId="2" fillId="0" borderId="0" applyAlignment="1" pivotButton="0" quotePrefix="0" xfId="0">
      <alignment vertical="center"/>
    </xf>
    <xf numFmtId="0" fontId="8" fillId="0" borderId="0" pivotButton="0" quotePrefix="0" xfId="0"/>
    <xf numFmtId="167" fontId="4" fillId="3" borderId="1" applyAlignment="1" applyProtection="1" pivotButton="0" quotePrefix="0" xfId="0">
      <alignment horizontal="center" vertical="center"/>
      <protection locked="0" hidden="0"/>
    </xf>
    <xf numFmtId="0" fontId="4" fillId="3" borderId="1" applyAlignment="1" applyProtection="1" pivotButton="0" quotePrefix="0" xfId="0">
      <alignment vertical="center"/>
      <protection locked="0" hidden="0"/>
    </xf>
    <xf numFmtId="1" fontId="4" fillId="3" borderId="1" applyAlignment="1" applyProtection="1" pivotButton="0" quotePrefix="0" xfId="0">
      <alignment horizontal="center" vertical="center"/>
      <protection locked="0" hidden="0"/>
    </xf>
    <xf numFmtId="0" fontId="4" fillId="3" borderId="1" applyAlignment="1" applyProtection="1" pivotButton="0" quotePrefix="0" xfId="0">
      <alignment horizontal="center" vertical="center"/>
      <protection locked="0" hidden="0"/>
    </xf>
    <xf numFmtId="165" fontId="7" fillId="5" borderId="1" applyAlignment="1" pivotButton="0" quotePrefix="0" xfId="0">
      <alignment vertical="center"/>
    </xf>
    <xf numFmtId="9" fontId="4" fillId="3" borderId="1" applyAlignment="1" applyProtection="1" pivotButton="0" quotePrefix="0" xfId="0">
      <alignment horizontal="center" vertical="center"/>
      <protection locked="0" hidden="0"/>
    </xf>
    <xf numFmtId="165" fontId="6" fillId="0" borderId="1" applyAlignment="1" pivotButton="0" quotePrefix="0" xfId="0">
      <alignment horizontal="center" vertical="center"/>
    </xf>
    <xf numFmtId="0" fontId="13" fillId="0" borderId="0" applyAlignment="1" pivotButton="0" quotePrefix="0" xfId="0">
      <alignment vertical="center" wrapText="1"/>
    </xf>
    <xf numFmtId="0" fontId="14" fillId="0" borderId="0" applyAlignment="1" pivotButton="0" quotePrefix="0" xfId="0">
      <alignment vertical="center" wrapText="1"/>
    </xf>
  </cellXfs>
  <cellStyles count="1">
    <cellStyle name="Normal" xfId="0" builtinId="0" hidden="0"/>
  </cellStyles>
  <dxfs count="3">
    <dxf>
      <font>
        <b val="1"/>
        <color rgb="00B91C1C"/>
      </font>
      <fill>
        <patternFill patternType="solid">
          <fgColor rgb="00FEE2E2"/>
          <bgColor rgb="00FEE2E2"/>
        </patternFill>
      </fill>
    </dxf>
    <dxf>
      <font>
        <b val="1"/>
        <color rgb="000B4A2F"/>
      </font>
      <fill>
        <patternFill patternType="solid">
          <fgColor rgb="00D1FAE5"/>
          <bgColor rgb="00D1FAE5"/>
        </patternFill>
      </fill>
    </dxf>
    <dxf>
      <font>
        <b val="1"/>
        <color rgb="0092400E"/>
      </font>
      <fill>
        <patternFill patternType="solid">
          <fgColor rgb="00FEF3C7"/>
          <bgColor rgb="00FEF3C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charts/chart1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Coste frente a presupuesto por trimestre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'Panel'!F12</f>
            </strRef>
          </tx>
          <spPr>
            <a:ln xmlns:a="http://schemas.openxmlformats.org/drawingml/2006/main">
              <a:prstDash val="solid"/>
            </a:ln>
          </spPr>
          <cat>
            <numRef>
              <f>'Panel'!$B$13:$B$15</f>
            </numRef>
          </cat>
          <val>
            <numRef>
              <f>'Panel'!$F$13:$F$15</f>
            </numRef>
          </val>
        </ser>
        <ser>
          <idx val="1"/>
          <order val="1"/>
          <tx>
            <strRef>
              <f>'Panel'!G12</f>
            </strRef>
          </tx>
          <spPr>
            <a:ln xmlns:a="http://schemas.openxmlformats.org/drawingml/2006/main">
              <a:prstDash val="solid"/>
            </a:ln>
          </spPr>
          <cat>
            <numRef>
              <f>'Panel'!$B$13:$B$15</f>
            </numRef>
          </cat>
          <val>
            <numRef>
              <f>'Panel'!$G$13:$G$15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Reparto del coste por tipo</a:t>
            </a:r>
          </a:p>
        </rich>
      </tx>
    </title>
    <plotArea>
      <pieChart>
        <varyColors val="1"/>
        <ser>
          <idx val="0"/>
          <order val="0"/>
          <tx>
            <strRef>
              <f>'Panel'!E19</f>
            </strRef>
          </tx>
          <spPr>
            <a:ln xmlns:a="http://schemas.openxmlformats.org/drawingml/2006/main">
              <a:prstDash val="solid"/>
            </a:ln>
          </spPr>
          <cat>
            <numRef>
              <f>'Panel'!$B$20:$B$21</f>
            </numRef>
          </cat>
          <val>
            <numRef>
              <f>'Panel'!$E$20:$E$21</f>
            </numRef>
          </val>
        </ser>
        <firstSliceAng val="0"/>
      </pieChart>
    </plotArea>
    <legend>
      <legendPos val="r"/>
    </legend>
    <plotVisOnly val="1"/>
    <dispBlanksAs val="gap"/>
  </chart>
</chartSpace>
</file>

<file path=xl/charts/chart3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Coste total por grupo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'Grupos'!I7</f>
            </strRef>
          </tx>
          <spPr>
            <a:ln xmlns:a="http://schemas.openxmlformats.org/drawingml/2006/main">
              <a:prstDash val="solid"/>
            </a:ln>
          </spPr>
          <cat>
            <numRef>
              <f>'Grupos'!$B$8:$B$15</f>
            </numRef>
          </cat>
          <val>
            <numRef>
              <f>'Grupos'!$I$8:$I$15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_rels/drawing2.xml.rels><Relationships xmlns="http://schemas.openxmlformats.org/package/2006/relationships"><Relationship Type="http://schemas.openxmlformats.org/officeDocument/2006/relationships/chart" Target="/xl/charts/chart3.xml" Id="rId1"/></Relationships>
</file>

<file path=xl/drawings/drawing1.xml><?xml version="1.0" encoding="utf-8"?>
<wsDr xmlns="http://schemas.openxmlformats.org/drawingml/2006/spreadsheetDrawing">
  <oneCellAnchor>
    <from>
      <col>1</col>
      <colOff>0</colOff>
      <row>32</row>
      <rowOff>0</rowOff>
    </from>
    <ext cx="504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5</col>
      <colOff>0</colOff>
      <row>32</row>
      <rowOff>0</rowOff>
    </from>
    <ext cx="4500000" cy="288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drawings/drawing2.xml><?xml version="1.0" encoding="utf-8"?>
<wsDr xmlns="http://schemas.openxmlformats.org/drawingml/2006/spreadsheetDrawing">
  <oneCellAnchor>
    <from>
      <col>1</col>
      <colOff>0</colOff>
      <row>21</row>
      <rowOff>0</rowOff>
    </from>
    <ext cx="576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sheet1.xml><?xml version="1.0" encoding="utf-8"?>
<worksheet xmlns="http://schemas.openxmlformats.org/spreadsheetml/2006/main">
  <sheetPr>
    <tabColor rgb="0012744A"/>
    <outlinePr summaryBelow="1" summaryRight="1"/>
    <pageSetUpPr fitToPage="1"/>
  </sheetPr>
  <dimension ref="B2:K32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30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3" customWidth="1" min="10" max="10"/>
    <col hidden="1" width="10" customWidth="1" min="11" max="11"/>
  </cols>
  <sheetData>
    <row r="2" ht="34" customHeight="1">
      <c r="B2" s="1">
        <f>"Panel de actividades · curso "&amp;Actividades!C5</f>
        <v/>
      </c>
      <c r="C2" s="2" t="n"/>
      <c r="D2" s="2" t="n"/>
      <c r="E2" s="2" t="n"/>
      <c r="F2" s="2" t="n"/>
      <c r="G2" s="2" t="n"/>
      <c r="H2" s="2" t="n"/>
      <c r="I2" s="2" t="n"/>
    </row>
    <row r="3">
      <c r="B3" s="3" t="inlineStr">
        <is>
          <t>Resumen automático del curso: participación, coste y presupuesto por trimestre.</t>
        </is>
      </c>
    </row>
    <row r="5" ht="24" customHeight="1">
      <c r="B5" s="4" t="inlineStr">
        <is>
          <t>ACTIVIDADES (SIN CANCELADAS)</t>
        </is>
      </c>
      <c r="C5" s="4" t="inlineStr">
        <is>
          <t>REALIZADAS</t>
        </is>
      </c>
      <c r="E5" s="4" t="inlineStr">
        <is>
          <t>PREVISTAS</t>
        </is>
      </c>
      <c r="G5" s="4" t="inlineStr">
        <is>
          <t>PARTICIPACIÓN MEDIA</t>
        </is>
      </c>
    </row>
    <row r="6" ht="34" customHeight="1">
      <c r="B6" s="5">
        <f>COUNTIFS(Actividades!$C$8:$C$47,"&lt;&gt;",Actividades!$M$8:$M$47,"&lt;&gt;Cancelada")</f>
        <v/>
      </c>
      <c r="C6" s="5">
        <f>COUNTIF(Actividades!$M$8:$M$47,"Realizada")</f>
        <v/>
      </c>
      <c r="E6" s="5">
        <f>COUNTIF(Actividades!$M$8:$M$47,"Prevista")</f>
        <v/>
      </c>
      <c r="G6" s="6">
        <f>IFERROR(SUMIFS(Actividades!$J$8:$J$47,Actividades!$M$8:$M$47,"Realizada")/SUMIFS(Actividades!$H$8:$H$47,Actividades!$M$8:$M$47,"Realizada"),0)</f>
        <v/>
      </c>
    </row>
    <row r="8" ht="24" customHeight="1">
      <c r="B8" s="4" t="inlineStr">
        <is>
          <t>COSTE TOTAL DEL CURSO</t>
        </is>
      </c>
      <c r="C8" s="4" t="inlineStr">
        <is>
          <t>COSTE POR PARTICIPANTE</t>
        </is>
      </c>
      <c r="E8" s="4" t="inlineStr">
        <is>
          <t>VALORACIÓN MEDIA (1-5)</t>
        </is>
      </c>
      <c r="G8" s="4" t="inlineStr">
        <is>
          <t>AUTORIZACIONES PENDIENTES</t>
        </is>
      </c>
    </row>
    <row r="9" ht="34" customHeight="1">
      <c r="B9" s="7">
        <f>SUM(Actividades!$K$8:$K$47)-SUMIF(Actividades!$M$8:$M$47,"Cancelada",Actividades!$K$8:$K$47)</f>
        <v/>
      </c>
      <c r="C9" s="7">
        <f>IFERROR(SUMIFS(Actividades!$K$8:$K$47,Actividades!$M$8:$M$47,"Realizada")/SUMIFS(Actividades!$J$8:$J$47,Actividades!$M$8:$M$47,"Realizada"),0)</f>
        <v/>
      </c>
      <c r="E9" s="8">
        <f>IFERROR(AVERAGEIF(Actividades!$M$8:$M$47,"Realizada",Actividades!$L$8:$L$47),0)</f>
        <v/>
      </c>
      <c r="G9" s="5">
        <f>SUM(Actividades!$Q$8:$Q$47)</f>
        <v/>
      </c>
    </row>
    <row r="11">
      <c r="B11" s="9" t="inlineStr">
        <is>
          <t>COSTE Y PARTICIPACIÓN POR TRIMESTRE (1T: sep-dic · 2T: ene-mar · 3T: abr-ago)</t>
        </is>
      </c>
    </row>
    <row r="12" ht="30" customHeight="1">
      <c r="B12" s="10" t="inlineStr">
        <is>
          <t>Trimestre</t>
        </is>
      </c>
      <c r="C12" s="10" t="inlineStr">
        <is>
          <t>Actividades</t>
        </is>
      </c>
      <c r="D12" s="10" t="inlineStr">
        <is>
          <t>Realizadas</t>
        </is>
      </c>
      <c r="E12" s="10" t="inlineStr">
        <is>
          <t>Participación</t>
        </is>
      </c>
      <c r="F12" s="10" t="inlineStr">
        <is>
          <t>Coste</t>
        </is>
      </c>
      <c r="G12" s="10" t="inlineStr">
        <is>
          <t>Presupuesto</t>
        </is>
      </c>
      <c r="H12" s="10" t="inlineStr">
        <is>
          <t>Margen</t>
        </is>
      </c>
      <c r="I12" s="10" t="inlineStr">
        <is>
          <t>Estado</t>
        </is>
      </c>
    </row>
    <row r="13">
      <c r="B13" s="11" t="inlineStr">
        <is>
          <t>1T</t>
        </is>
      </c>
      <c r="C13" s="12">
        <f>COUNTIFS(Actividades!$N$8:$N$47,B13,Actividades!$M$8:$M$47,"&lt;&gt;Cancelada")</f>
        <v/>
      </c>
      <c r="D13" s="12">
        <f>COUNTIFS(Actividades!$N$8:$N$47,B13,Actividades!$M$8:$M$47,"Realizada")</f>
        <v/>
      </c>
      <c r="E13" s="13">
        <f>IFERROR(SUMIFS(Actividades!$J$8:$J$47,Actividades!$N$8:$N$47,B13,Actividades!$M$8:$M$47,"Realizada")/SUMIFS(Actividades!$H$8:$H$47,Actividades!$N$8:$N$47,B13,Actividades!$M$8:$M$47,"Realizada"),"")</f>
        <v/>
      </c>
      <c r="F13" s="14">
        <f>SUMIFS(Actividades!$K$8:$K$47,Actividades!$N$8:$N$47,B13)-SUMIFS(Actividades!$K$8:$K$47,Actividades!$N$8:$N$47,B13,Actividades!$M$8:$M$47,"Cancelada")</f>
        <v/>
      </c>
      <c r="G13" s="15" t="n">
        <v>1200</v>
      </c>
      <c r="H13" s="14">
        <f>IF(G13="","",G13-F13)</f>
        <v/>
      </c>
      <c r="I13" s="16">
        <f>IF(G13="","Sin presupuesto",IF(F13&gt;G13,"Superado","Dentro"))</f>
        <v/>
      </c>
    </row>
    <row r="14">
      <c r="B14" s="11" t="inlineStr">
        <is>
          <t>2T</t>
        </is>
      </c>
      <c r="C14" s="12">
        <f>COUNTIFS(Actividades!$N$8:$N$47,B14,Actividades!$M$8:$M$47,"&lt;&gt;Cancelada")</f>
        <v/>
      </c>
      <c r="D14" s="12">
        <f>COUNTIFS(Actividades!$N$8:$N$47,B14,Actividades!$M$8:$M$47,"Realizada")</f>
        <v/>
      </c>
      <c r="E14" s="13">
        <f>IFERROR(SUMIFS(Actividades!$J$8:$J$47,Actividades!$N$8:$N$47,B14,Actividades!$M$8:$M$47,"Realizada")/SUMIFS(Actividades!$H$8:$H$47,Actividades!$N$8:$N$47,B14,Actividades!$M$8:$M$47,"Realizada"),"")</f>
        <v/>
      </c>
      <c r="F14" s="14">
        <f>SUMIFS(Actividades!$K$8:$K$47,Actividades!$N$8:$N$47,B14)-SUMIFS(Actividades!$K$8:$K$47,Actividades!$N$8:$N$47,B14,Actividades!$M$8:$M$47,"Cancelada")</f>
        <v/>
      </c>
      <c r="G14" s="15" t="n">
        <v>1300</v>
      </c>
      <c r="H14" s="14">
        <f>IF(G14="","",G14-F14)</f>
        <v/>
      </c>
      <c r="I14" s="16">
        <f>IF(G14="","Sin presupuesto",IF(F14&gt;G14,"Superado","Dentro"))</f>
        <v/>
      </c>
    </row>
    <row r="15">
      <c r="B15" s="11" t="inlineStr">
        <is>
          <t>3T</t>
        </is>
      </c>
      <c r="C15" s="12">
        <f>COUNTIFS(Actividades!$N$8:$N$47,B15,Actividades!$M$8:$M$47,"&lt;&gt;Cancelada")</f>
        <v/>
      </c>
      <c r="D15" s="12">
        <f>COUNTIFS(Actividades!$N$8:$N$47,B15,Actividades!$M$8:$M$47,"Realizada")</f>
        <v/>
      </c>
      <c r="E15" s="13">
        <f>IFERROR(SUMIFS(Actividades!$J$8:$J$47,Actividades!$N$8:$N$47,B15,Actividades!$M$8:$M$47,"Realizada")/SUMIFS(Actividades!$H$8:$H$47,Actividades!$N$8:$N$47,B15,Actividades!$M$8:$M$47,"Realizada"),"")</f>
        <v/>
      </c>
      <c r="F15" s="14">
        <f>SUMIFS(Actividades!$K$8:$K$47,Actividades!$N$8:$N$47,B15)-SUMIFS(Actividades!$K$8:$K$47,Actividades!$N$8:$N$47,B15,Actividades!$M$8:$M$47,"Cancelada")</f>
        <v/>
      </c>
      <c r="G15" s="15" t="n">
        <v>2500</v>
      </c>
      <c r="H15" s="14">
        <f>IF(G15="","",G15-F15)</f>
        <v/>
      </c>
      <c r="I15" s="16">
        <f>IF(G15="","Sin presupuesto",IF(F15&gt;G15,"Superado","Dentro"))</f>
        <v/>
      </c>
    </row>
    <row r="16">
      <c r="B16" s="17" t="inlineStr">
        <is>
          <t>Total curso</t>
        </is>
      </c>
      <c r="C16" s="18">
        <f>SUM(C13:C15)</f>
        <v/>
      </c>
      <c r="D16" s="18">
        <f>SUM(D13:D15)</f>
        <v/>
      </c>
      <c r="E16" s="19">
        <f>IFERROR(SUMIFS(Actividades!$J$8:$J$47,Actividades!$M$8:$M$47,"Realizada")/SUMIFS(Actividades!$H$8:$H$47,Actividades!$M$8:$M$47,"Realizada"),"")</f>
        <v/>
      </c>
      <c r="F16" s="20">
        <f>SUM(F13:F15)</f>
        <v/>
      </c>
      <c r="G16" s="20">
        <f>SUM(G13:G15)</f>
        <v/>
      </c>
      <c r="H16" s="20">
        <f>G16-F16</f>
        <v/>
      </c>
      <c r="I16" s="17">
        <f>IF(F16&gt;G16,"Superado","Dentro")</f>
        <v/>
      </c>
    </row>
    <row r="18">
      <c r="B18" s="9" t="inlineStr">
        <is>
          <t>COSTE Y PARTICIPACIÓN POR TIPO</t>
        </is>
      </c>
    </row>
    <row r="19" ht="30" customHeight="1">
      <c r="B19" s="10" t="inlineStr">
        <is>
          <t>Tipo</t>
        </is>
      </c>
      <c r="C19" s="10" t="inlineStr">
        <is>
          <t>Actividades</t>
        </is>
      </c>
      <c r="D19" s="10" t="inlineStr">
        <is>
          <t>Participantes</t>
        </is>
      </c>
      <c r="E19" s="10" t="inlineStr">
        <is>
          <t>Coste</t>
        </is>
      </c>
      <c r="F19" s="10" t="inlineStr">
        <is>
          <t>% del coste</t>
        </is>
      </c>
      <c r="G19" s="10" t="inlineStr">
        <is>
          <t>Coste por participante</t>
        </is>
      </c>
    </row>
    <row r="20">
      <c r="B20" s="11" t="inlineStr">
        <is>
          <t>Complementaria</t>
        </is>
      </c>
      <c r="C20" s="12">
        <f>COUNTIFS(Actividades!$D$8:$D$47,B20,Actividades!$M$8:$M$47,"&lt;&gt;Cancelada")</f>
        <v/>
      </c>
      <c r="D20" s="12">
        <f>SUMIFS(Actividades!$J$8:$J$47,Actividades!$D$8:$D$47,B20,Actividades!$M$8:$M$47,"Realizada")</f>
        <v/>
      </c>
      <c r="E20" s="14">
        <f>SUMIFS(Actividades!$K$8:$K$47,Actividades!$D$8:$D$47,B20)-SUMIFS(Actividades!$K$8:$K$47,Actividades!$D$8:$D$47,B20,Actividades!$M$8:$M$47,"Cancelada")</f>
        <v/>
      </c>
      <c r="F20" s="13">
        <f>IFERROR(E20/$E$22,0)</f>
        <v/>
      </c>
      <c r="G20" s="14">
        <f>IFERROR(SUMIFS(Actividades!$K$8:$K$47,Actividades!$D$8:$D$47,B20,Actividades!$M$8:$M$47,"Realizada")/D20,"")</f>
        <v/>
      </c>
    </row>
    <row r="21">
      <c r="B21" s="11" t="inlineStr">
        <is>
          <t>Extraescolar</t>
        </is>
      </c>
      <c r="C21" s="12">
        <f>COUNTIFS(Actividades!$D$8:$D$47,B21,Actividades!$M$8:$M$47,"&lt;&gt;Cancelada")</f>
        <v/>
      </c>
      <c r="D21" s="12">
        <f>SUMIFS(Actividades!$J$8:$J$47,Actividades!$D$8:$D$47,B21,Actividades!$M$8:$M$47,"Realizada")</f>
        <v/>
      </c>
      <c r="E21" s="14">
        <f>SUMIFS(Actividades!$K$8:$K$47,Actividades!$D$8:$D$47,B21)-SUMIFS(Actividades!$K$8:$K$47,Actividades!$D$8:$D$47,B21,Actividades!$M$8:$M$47,"Cancelada")</f>
        <v/>
      </c>
      <c r="F21" s="13">
        <f>IFERROR(E21/$E$22,0)</f>
        <v/>
      </c>
      <c r="G21" s="14">
        <f>IFERROR(SUMIFS(Actividades!$K$8:$K$47,Actividades!$D$8:$D$47,B21,Actividades!$M$8:$M$47,"Realizada")/D21,"")</f>
        <v/>
      </c>
    </row>
    <row r="22">
      <c r="B22" s="17" t="inlineStr">
        <is>
          <t>Total</t>
        </is>
      </c>
      <c r="C22" s="18">
        <f>SUM(C20:C21)</f>
        <v/>
      </c>
      <c r="D22" s="18">
        <f>SUM(D20:D21)</f>
        <v/>
      </c>
      <c r="E22" s="20">
        <f>SUM(E20:E21)</f>
        <v/>
      </c>
      <c r="F22" s="19">
        <f>SUM(F20:F21)</f>
        <v/>
      </c>
      <c r="G22" s="20">
        <f>IFERROR(SUMIFS(Actividades!$K$8:$K$47,Actividades!$M$8:$M$47,"Realizada")/D22,"")</f>
        <v/>
      </c>
    </row>
    <row r="24">
      <c r="B24" s="9" t="inlineStr">
        <is>
          <t>LAS 5 ACTIVIDADES MEJOR VALORADAS</t>
        </is>
      </c>
    </row>
    <row r="25" ht="26" customHeight="1">
      <c r="B25" s="10" t="inlineStr">
        <is>
          <t>Actividad</t>
        </is>
      </c>
      <c r="C25" s="10" t="inlineStr">
        <is>
          <t>Grupo</t>
        </is>
      </c>
      <c r="D25" s="10" t="inlineStr">
        <is>
          <t>Fecha</t>
        </is>
      </c>
      <c r="E25" s="10" t="inlineStr">
        <is>
          <t>Valoración</t>
        </is>
      </c>
      <c r="F25" s="10" t="inlineStr">
        <is>
          <t>Participación</t>
        </is>
      </c>
    </row>
    <row r="26">
      <c r="B26" s="21">
        <f>IF($K26="","",INDEX(Actividades!$C$8:$C$47,MATCH($K26,Actividades!$S$8:$S$47,0)))</f>
        <v/>
      </c>
      <c r="C26" s="21">
        <f>IF($K26="","",INDEX(Actividades!$E$8:$E$47,MATCH($K26,Actividades!$S$8:$S$47,0)))</f>
        <v/>
      </c>
      <c r="D26" s="22">
        <f>IF($K26="","",INDEX(Actividades!$B$8:$B$47,MATCH($K26,Actividades!$S$8:$S$47,0)))</f>
        <v/>
      </c>
      <c r="E26" s="12">
        <f>IF($K26="","",INDEX(Actividades!$L$8:$L$47,MATCH($K26,Actividades!$S$8:$S$47,0)))</f>
        <v/>
      </c>
      <c r="F26" s="13">
        <f>IF($K26="","",INDEX(Actividades!$O$8:$O$47,MATCH($K26,Actividades!$S$8:$S$47,0)))</f>
        <v/>
      </c>
      <c r="K26" s="23">
        <f>IFERROR(LARGE(Actividades!$S$8:$S$47,1),"")</f>
        <v/>
      </c>
    </row>
    <row r="27">
      <c r="B27" s="21">
        <f>IF($K27="","",INDEX(Actividades!$C$8:$C$47,MATCH($K27,Actividades!$S$8:$S$47,0)))</f>
        <v/>
      </c>
      <c r="C27" s="21">
        <f>IF($K27="","",INDEX(Actividades!$E$8:$E$47,MATCH($K27,Actividades!$S$8:$S$47,0)))</f>
        <v/>
      </c>
      <c r="D27" s="22">
        <f>IF($K27="","",INDEX(Actividades!$B$8:$B$47,MATCH($K27,Actividades!$S$8:$S$47,0)))</f>
        <v/>
      </c>
      <c r="E27" s="12">
        <f>IF($K27="","",INDEX(Actividades!$L$8:$L$47,MATCH($K27,Actividades!$S$8:$S$47,0)))</f>
        <v/>
      </c>
      <c r="F27" s="13">
        <f>IF($K27="","",INDEX(Actividades!$O$8:$O$47,MATCH($K27,Actividades!$S$8:$S$47,0)))</f>
        <v/>
      </c>
      <c r="K27" s="23">
        <f>IFERROR(LARGE(Actividades!$S$8:$S$47,2),"")</f>
        <v/>
      </c>
    </row>
    <row r="28">
      <c r="B28" s="21">
        <f>IF($K28="","",INDEX(Actividades!$C$8:$C$47,MATCH($K28,Actividades!$S$8:$S$47,0)))</f>
        <v/>
      </c>
      <c r="C28" s="21">
        <f>IF($K28="","",INDEX(Actividades!$E$8:$E$47,MATCH($K28,Actividades!$S$8:$S$47,0)))</f>
        <v/>
      </c>
      <c r="D28" s="22">
        <f>IF($K28="","",INDEX(Actividades!$B$8:$B$47,MATCH($K28,Actividades!$S$8:$S$47,0)))</f>
        <v/>
      </c>
      <c r="E28" s="12">
        <f>IF($K28="","",INDEX(Actividades!$L$8:$L$47,MATCH($K28,Actividades!$S$8:$S$47,0)))</f>
        <v/>
      </c>
      <c r="F28" s="13">
        <f>IF($K28="","",INDEX(Actividades!$O$8:$O$47,MATCH($K28,Actividades!$S$8:$S$47,0)))</f>
        <v/>
      </c>
      <c r="K28" s="23">
        <f>IFERROR(LARGE(Actividades!$S$8:$S$47,3),"")</f>
        <v/>
      </c>
    </row>
    <row r="29">
      <c r="B29" s="21">
        <f>IF($K29="","",INDEX(Actividades!$C$8:$C$47,MATCH($K29,Actividades!$S$8:$S$47,0)))</f>
        <v/>
      </c>
      <c r="C29" s="21">
        <f>IF($K29="","",INDEX(Actividades!$E$8:$E$47,MATCH($K29,Actividades!$S$8:$S$47,0)))</f>
        <v/>
      </c>
      <c r="D29" s="22">
        <f>IF($K29="","",INDEX(Actividades!$B$8:$B$47,MATCH($K29,Actividades!$S$8:$S$47,0)))</f>
        <v/>
      </c>
      <c r="E29" s="12">
        <f>IF($K29="","",INDEX(Actividades!$L$8:$L$47,MATCH($K29,Actividades!$S$8:$S$47,0)))</f>
        <v/>
      </c>
      <c r="F29" s="13">
        <f>IF($K29="","",INDEX(Actividades!$O$8:$O$47,MATCH($K29,Actividades!$S$8:$S$47,0)))</f>
        <v/>
      </c>
      <c r="K29" s="23">
        <f>IFERROR(LARGE(Actividades!$S$8:$S$47,4),"")</f>
        <v/>
      </c>
    </row>
    <row r="30">
      <c r="B30" s="21">
        <f>IF($K30="","",INDEX(Actividades!$C$8:$C$47,MATCH($K30,Actividades!$S$8:$S$47,0)))</f>
        <v/>
      </c>
      <c r="C30" s="21">
        <f>IF($K30="","",INDEX(Actividades!$E$8:$E$47,MATCH($K30,Actividades!$S$8:$S$47,0)))</f>
        <v/>
      </c>
      <c r="D30" s="22">
        <f>IF($K30="","",INDEX(Actividades!$B$8:$B$47,MATCH($K30,Actividades!$S$8:$S$47,0)))</f>
        <v/>
      </c>
      <c r="E30" s="12">
        <f>IF($K30="","",INDEX(Actividades!$L$8:$L$47,MATCH($K30,Actividades!$S$8:$S$47,0)))</f>
        <v/>
      </c>
      <c r="F30" s="13">
        <f>IF($K30="","",INDEX(Actividades!$O$8:$O$47,MATCH($K30,Actividades!$S$8:$S$47,0)))</f>
        <v/>
      </c>
      <c r="K30" s="23">
        <f>IFERROR(LARGE(Actividades!$S$8:$S$47,5),"")</f>
        <v/>
      </c>
    </row>
    <row r="32">
      <c r="B32" s="9" t="inlineStr">
        <is>
          <t>GRÁFICOS</t>
        </is>
      </c>
    </row>
  </sheetData>
  <sheetProtection selectLockedCells="0" selectUnlockedCells="0" sheet="1" objects="0" insertRows="0" insertHyperlinks="1" autoFilter="0" scenarios="0" formatColumns="0" deleteColumns="1" insertColumns="1" pivotTables="1" deleteRows="0" formatCells="0" formatRows="0" sort="0"/>
  <mergeCells count="14">
    <mergeCell ref="E6:F6"/>
    <mergeCell ref="C6:D6"/>
    <mergeCell ref="G6:I6"/>
    <mergeCell ref="G5:I5"/>
    <mergeCell ref="B2:I2"/>
    <mergeCell ref="C5:D5"/>
    <mergeCell ref="E5:F5"/>
    <mergeCell ref="B3:I3"/>
    <mergeCell ref="G8:I8"/>
    <mergeCell ref="G9:I9"/>
    <mergeCell ref="C9:D9"/>
    <mergeCell ref="E9:F9"/>
    <mergeCell ref="E8:F8"/>
    <mergeCell ref="C8:D8"/>
  </mergeCells>
  <conditionalFormatting sqref="I13:I16">
    <cfRule type="cellIs" priority="1" operator="equal" dxfId="0">
      <formula>"Superado"</formula>
    </cfRule>
    <cfRule type="cellIs" priority="2" operator="equal" dxfId="1">
      <formula>"Dentro"</formula>
    </cfRule>
  </conditionalFormatting>
  <conditionalFormatting sqref="I13:I15">
    <cfRule type="cellIs" priority="3" operator="equal" dxfId="2">
      <formula>"Sin presupuesto"</formula>
    </cfRule>
  </conditionalFormatting>
  <conditionalFormatting sqref="H13:H16">
    <cfRule type="expression" priority="4" dxfId="0">
      <formula>AND(ISNUMBER(H13),H13&lt;0)</formula>
    </cfRule>
  </conditionalFormatting>
  <conditionalFormatting sqref="F20:F21">
    <cfRule type="dataBar" priority="5">
      <dataBar>
        <cfvo type="num" val="0"/>
        <cfvo type="max"/>
        <color rgb="0010B981"/>
      </dataBar>
    </cfRule>
  </conditionalFormatting>
  <conditionalFormatting sqref="E26:E30">
    <cfRule type="dataBar" priority="6">
      <dataBar>
        <cfvo type="num" val="0"/>
        <cfvo type="max"/>
        <color rgb="0034D399"/>
      </dataBar>
    </cfRule>
  </conditionalFormatting>
  <pageMargins left="0.75" right="0.75" top="1" bottom="1" header="0.5" footer="0.5"/>
  <pageSetup orientation="landscape" fitToHeight="0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047857"/>
    <outlinePr summaryBelow="1" summaryRight="1"/>
    <pageSetUpPr fitToPage="1"/>
  </sheetPr>
  <dimension ref="B2:S49"/>
  <sheetViews>
    <sheetView showGridLines="0" workbookViewId="0">
      <pane xSplit="3" ySplit="7" topLeftCell="D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" customWidth="1" min="1" max="1"/>
    <col width="12" customWidth="1" min="2" max="2"/>
    <col width="36" customWidth="1" min="3" max="3"/>
    <col width="15" customWidth="1" min="4" max="4"/>
    <col width="17" customWidth="1" min="5" max="5"/>
    <col width="17" customWidth="1" min="6" max="6"/>
    <col width="38" customWidth="1" min="7" max="7"/>
    <col width="10" customWidth="1" min="8" max="8"/>
    <col width="13" customWidth="1" min="9" max="9"/>
    <col width="13" customWidth="1" min="10" max="10"/>
    <col width="12" customWidth="1" min="11" max="11"/>
    <col width="11" customWidth="1" min="12" max="12"/>
    <col width="12" customWidth="1" min="13" max="13"/>
    <col width="11" customWidth="1" min="14" max="14"/>
    <col width="12" customWidth="1" min="15" max="15"/>
    <col width="13" customWidth="1" min="16" max="16"/>
    <col width="14" customWidth="1" min="17" max="17"/>
    <col width="30" customWidth="1" min="18" max="18"/>
    <col hidden="1" width="10" customWidth="1" min="19" max="19"/>
  </cols>
  <sheetData>
    <row r="2" ht="34" customHeight="1">
      <c r="B2" s="1" t="inlineStr">
        <is>
          <t>Registro de actividades complementarias y extraescolares</t>
        </is>
      </c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  <c r="M2" s="2" t="n"/>
      <c r="N2" s="2" t="n"/>
      <c r="O2" s="2" t="n"/>
      <c r="P2" s="2" t="n"/>
      <c r="Q2" s="2" t="n"/>
      <c r="R2" s="2" t="n"/>
    </row>
    <row r="3">
      <c r="B3" s="3" t="inlineStr">
        <is>
          <t>Una fila por actividad: fecha, grupo, responsable, objetivo, autorizaciones, participación, coste y valoración.</t>
        </is>
      </c>
    </row>
    <row r="5">
      <c r="B5" s="24" t="inlineStr">
        <is>
          <t>Curso:</t>
        </is>
      </c>
      <c r="C5" s="25" t="inlineStr">
        <is>
          <t>2025-2026</t>
        </is>
      </c>
      <c r="D5" s="26" t="inlineStr">
        <is>
          <t>Estado: Prevista, Realizada o Cancelada. Rellena «Participantes» y «Valoración» cuando se haya realizado.</t>
        </is>
      </c>
    </row>
    <row r="7" ht="44" customHeight="1">
      <c r="B7" s="10" t="inlineStr">
        <is>
          <t>Fecha</t>
        </is>
      </c>
      <c r="C7" s="10" t="inlineStr">
        <is>
          <t>Actividad</t>
        </is>
      </c>
      <c r="D7" s="10" t="inlineStr">
        <is>
          <t>Tipo</t>
        </is>
      </c>
      <c r="E7" s="10" t="inlineStr">
        <is>
          <t>Grupo</t>
        </is>
      </c>
      <c r="F7" s="10" t="inlineStr">
        <is>
          <t>Responsable</t>
        </is>
      </c>
      <c r="G7" s="10" t="inlineStr">
        <is>
          <t>Objetivo didáctico</t>
        </is>
      </c>
      <c r="H7" s="10" t="inlineStr">
        <is>
          <t>Alumnos del grupo</t>
        </is>
      </c>
      <c r="I7" s="10" t="inlineStr">
        <is>
          <t>Autorizaciones recibidas</t>
        </is>
      </c>
      <c r="J7" s="10" t="inlineStr">
        <is>
          <t>Participantes</t>
        </is>
      </c>
      <c r="K7" s="10" t="inlineStr">
        <is>
          <t>Coste total</t>
        </is>
      </c>
      <c r="L7" s="10" t="inlineStr">
        <is>
          <t>Valoración (1-5)</t>
        </is>
      </c>
      <c r="M7" s="10" t="inlineStr">
        <is>
          <t>Estado</t>
        </is>
      </c>
      <c r="N7" s="10" t="inlineStr">
        <is>
          <t>Trimestre</t>
        </is>
      </c>
      <c r="O7" s="10" t="inlineStr">
        <is>
          <t>% participación</t>
        </is>
      </c>
      <c r="P7" s="10" t="inlineStr">
        <is>
          <t>Coste por participante</t>
        </is>
      </c>
      <c r="Q7" s="10" t="inlineStr">
        <is>
          <t>Autoriz. pendientes</t>
        </is>
      </c>
      <c r="R7" s="10" t="inlineStr">
        <is>
          <t>Aviso</t>
        </is>
      </c>
      <c r="S7" s="27" t="inlineStr">
        <is>
          <t>Clave (aux.)</t>
        </is>
      </c>
    </row>
    <row r="8">
      <c r="B8" s="28" t="n">
        <v>45939</v>
      </c>
      <c r="C8" s="29" t="inlineStr">
        <is>
          <t>Visita al Museo de Ciencias Naturales</t>
        </is>
      </c>
      <c r="D8" s="29" t="inlineStr">
        <is>
          <t>Complementaria</t>
        </is>
      </c>
      <c r="E8" s="29" t="inlineStr">
        <is>
          <t>1º ESO A</t>
        </is>
      </c>
      <c r="F8" s="29" t="inlineStr">
        <is>
          <t>Marta Gil</t>
        </is>
      </c>
      <c r="G8" s="29" t="inlineStr">
        <is>
          <t>Conocer la biodiversidad y el método científico</t>
        </is>
      </c>
      <c r="H8" s="30" t="n">
        <v>26</v>
      </c>
      <c r="I8" s="30" t="n">
        <v>26</v>
      </c>
      <c r="J8" s="30" t="n">
        <v>25</v>
      </c>
      <c r="K8" s="15" t="n">
        <v>312</v>
      </c>
      <c r="L8" s="30" t="n">
        <v>4</v>
      </c>
      <c r="M8" s="31" t="inlineStr">
        <is>
          <t>Realizada</t>
        </is>
      </c>
      <c r="N8" s="16">
        <f>IF(B8="","",IF(MONTH(B8)&gt;=9,"1T",IF(MONTH(B8)&lt;=3,"2T","3T")))</f>
        <v/>
      </c>
      <c r="O8" s="13">
        <f>IF(OR(B8="",H8="",J8=""),"",IFERROR(J8/H8,""))</f>
        <v/>
      </c>
      <c r="P8" s="14">
        <f>IF(OR(B8="",K8=""),"",IFERROR(K8/IF(J8="",I8,J8),""))</f>
        <v/>
      </c>
      <c r="Q8" s="12">
        <f>IF(OR(M8&lt;&gt;"Prevista",H8="",I8=""),"",MAX(H8-I8,0))</f>
        <v/>
      </c>
      <c r="R8" s="21">
        <f>IF(B8="","",IF(AND(M8="Prevista",N(Q8)&gt;0),"Faltan autorizaciones",IF(AND(M8="Realizada",N(J8)&gt;N(I8)),"Participan más que autorizados",IF(AND(M8="Realizada",J8=""),"Falta nº de participantes",""))))</f>
        <v/>
      </c>
      <c r="S8" s="23">
        <f>IF(OR(M8&lt;&gt;"Realizada",L8=""),"",L8+(1000-ROW())/100000)</f>
        <v/>
      </c>
    </row>
    <row r="9">
      <c r="B9" s="28" t="n">
        <v>45939</v>
      </c>
      <c r="C9" s="29" t="inlineStr">
        <is>
          <t>Visita al Museo de Ciencias Naturales</t>
        </is>
      </c>
      <c r="D9" s="29" t="inlineStr">
        <is>
          <t>Complementaria</t>
        </is>
      </c>
      <c r="E9" s="29" t="inlineStr">
        <is>
          <t>1º ESO B</t>
        </is>
      </c>
      <c r="F9" s="29" t="inlineStr">
        <is>
          <t>Raúl Cano</t>
        </is>
      </c>
      <c r="G9" s="29" t="inlineStr">
        <is>
          <t>Conocer la biodiversidad y el método científico</t>
        </is>
      </c>
      <c r="H9" s="30" t="n">
        <v>27</v>
      </c>
      <c r="I9" s="30" t="n">
        <v>26</v>
      </c>
      <c r="J9" s="30" t="n">
        <v>26</v>
      </c>
      <c r="K9" s="15" t="n">
        <v>325</v>
      </c>
      <c r="L9" s="30" t="n">
        <v>4</v>
      </c>
      <c r="M9" s="31" t="inlineStr">
        <is>
          <t>Realizada</t>
        </is>
      </c>
      <c r="N9" s="16">
        <f>IF(B9="","",IF(MONTH(B9)&gt;=9,"1T",IF(MONTH(B9)&lt;=3,"2T","3T")))</f>
        <v/>
      </c>
      <c r="O9" s="13">
        <f>IF(OR(B9="",H9="",J9=""),"",IFERROR(J9/H9,""))</f>
        <v/>
      </c>
      <c r="P9" s="14">
        <f>IF(OR(B9="",K9=""),"",IFERROR(K9/IF(J9="",I9,J9),""))</f>
        <v/>
      </c>
      <c r="Q9" s="12">
        <f>IF(OR(M9&lt;&gt;"Prevista",H9="",I9=""),"",MAX(H9-I9,0))</f>
        <v/>
      </c>
      <c r="R9" s="21">
        <f>IF(B9="","",IF(AND(M9="Prevista",N(Q9)&gt;0),"Faltan autorizaciones",IF(AND(M9="Realizada",N(J9)&gt;N(I9)),"Participan más que autorizados",IF(AND(M9="Realizada",J9=""),"Falta nº de participantes",""))))</f>
        <v/>
      </c>
      <c r="S9" s="23">
        <f>IF(OR(M9&lt;&gt;"Realizada",L9=""),"",L9+(1000-ROW())/100000)</f>
        <v/>
      </c>
    </row>
    <row r="10">
      <c r="B10" s="28" t="n">
        <v>45960</v>
      </c>
      <c r="C10" s="29" t="inlineStr">
        <is>
          <t>Taller de reciclaje y compostaje</t>
        </is>
      </c>
      <c r="D10" s="29" t="inlineStr">
        <is>
          <t>Complementaria</t>
        </is>
      </c>
      <c r="E10" s="29" t="inlineStr">
        <is>
          <t>2º ESO A</t>
        </is>
      </c>
      <c r="F10" s="29" t="inlineStr">
        <is>
          <t>Luis Ramos</t>
        </is>
      </c>
      <c r="G10" s="29" t="inlineStr">
        <is>
          <t>Hábitos sostenibles y economía circular</t>
        </is>
      </c>
      <c r="H10" s="30" t="n">
        <v>24</v>
      </c>
      <c r="I10" s="30" t="n">
        <v>24</v>
      </c>
      <c r="J10" s="30" t="n">
        <v>24</v>
      </c>
      <c r="K10" s="15" t="n">
        <v>180</v>
      </c>
      <c r="L10" s="30" t="n">
        <v>5</v>
      </c>
      <c r="M10" s="31" t="inlineStr">
        <is>
          <t>Realizada</t>
        </is>
      </c>
      <c r="N10" s="16">
        <f>IF(B10="","",IF(MONTH(B10)&gt;=9,"1T",IF(MONTH(B10)&lt;=3,"2T","3T")))</f>
        <v/>
      </c>
      <c r="O10" s="13">
        <f>IF(OR(B10="",H10="",J10=""),"",IFERROR(J10/H10,""))</f>
        <v/>
      </c>
      <c r="P10" s="14">
        <f>IF(OR(B10="",K10=""),"",IFERROR(K10/IF(J10="",I10,J10),""))</f>
        <v/>
      </c>
      <c r="Q10" s="12">
        <f>IF(OR(M10&lt;&gt;"Prevista",H10="",I10=""),"",MAX(H10-I10,0))</f>
        <v/>
      </c>
      <c r="R10" s="21">
        <f>IF(B10="","",IF(AND(M10="Prevista",N(Q10)&gt;0),"Faltan autorizaciones",IF(AND(M10="Realizada",N(J10)&gt;N(I10)),"Participan más que autorizados",IF(AND(M10="Realizada",J10=""),"Falta nº de participantes",""))))</f>
        <v/>
      </c>
      <c r="S10" s="23">
        <f>IF(OR(M10&lt;&gt;"Realizada",L10=""),"",L10+(1000-ROW())/100000)</f>
        <v/>
      </c>
    </row>
    <row r="11">
      <c r="B11" s="28" t="n">
        <v>45981</v>
      </c>
      <c r="C11" s="29" t="inlineStr">
        <is>
          <t>Charla sobre ciberseguridad</t>
        </is>
      </c>
      <c r="D11" s="29" t="inlineStr">
        <is>
          <t>Complementaria</t>
        </is>
      </c>
      <c r="E11" s="29" t="inlineStr">
        <is>
          <t>3º ESO A</t>
        </is>
      </c>
      <c r="F11" s="29" t="inlineStr">
        <is>
          <t>Elena Soto</t>
        </is>
      </c>
      <c r="G11" s="29" t="inlineStr">
        <is>
          <t>Uso seguro y responsable de internet</t>
        </is>
      </c>
      <c r="H11" s="30" t="n">
        <v>28</v>
      </c>
      <c r="I11" s="30" t="n">
        <v>28</v>
      </c>
      <c r="J11" s="30" t="n">
        <v>28</v>
      </c>
      <c r="K11" s="15" t="n">
        <v>0</v>
      </c>
      <c r="L11" s="30" t="n">
        <v>4</v>
      </c>
      <c r="M11" s="31" t="inlineStr">
        <is>
          <t>Realizada</t>
        </is>
      </c>
      <c r="N11" s="16">
        <f>IF(B11="","",IF(MONTH(B11)&gt;=9,"1T",IF(MONTH(B11)&lt;=3,"2T","3T")))</f>
        <v/>
      </c>
      <c r="O11" s="13">
        <f>IF(OR(B11="",H11="",J11=""),"",IFERROR(J11/H11,""))</f>
        <v/>
      </c>
      <c r="P11" s="14">
        <f>IF(OR(B11="",K11=""),"",IFERROR(K11/IF(J11="",I11,J11),""))</f>
        <v/>
      </c>
      <c r="Q11" s="12">
        <f>IF(OR(M11&lt;&gt;"Prevista",H11="",I11=""),"",MAX(H11-I11,0))</f>
        <v/>
      </c>
      <c r="R11" s="21">
        <f>IF(B11="","",IF(AND(M11="Prevista",N(Q11)&gt;0),"Faltan autorizaciones",IF(AND(M11="Realizada",N(J11)&gt;N(I11)),"Participan más que autorizados",IF(AND(M11="Realizada",J11=""),"Falta nº de participantes",""))))</f>
        <v/>
      </c>
      <c r="S11" s="23">
        <f>IF(OR(M11&lt;&gt;"Realizada",L11=""),"",L11+(1000-ROW())/100000)</f>
        <v/>
      </c>
    </row>
    <row r="12">
      <c r="B12" s="28" t="n">
        <v>46003</v>
      </c>
      <c r="C12" s="29" t="inlineStr">
        <is>
          <t>Concierto didáctico de Navidad</t>
        </is>
      </c>
      <c r="D12" s="29" t="inlineStr">
        <is>
          <t>Complementaria</t>
        </is>
      </c>
      <c r="E12" s="29" t="inlineStr">
        <is>
          <t>2º ESO B</t>
        </is>
      </c>
      <c r="F12" s="29" t="inlineStr">
        <is>
          <t>Carmen Pastor</t>
        </is>
      </c>
      <c r="G12" s="29" t="inlineStr">
        <is>
          <t>Apreciación musical y trabajo en grupo</t>
        </is>
      </c>
      <c r="H12" s="30" t="n">
        <v>25</v>
      </c>
      <c r="I12" s="30" t="n">
        <v>23</v>
      </c>
      <c r="J12" s="30" t="n">
        <v>23</v>
      </c>
      <c r="K12" s="15" t="n">
        <v>230</v>
      </c>
      <c r="L12" s="30" t="n">
        <v>3</v>
      </c>
      <c r="M12" s="31" t="inlineStr">
        <is>
          <t>Realizada</t>
        </is>
      </c>
      <c r="N12" s="16">
        <f>IF(B12="","",IF(MONTH(B12)&gt;=9,"1T",IF(MONTH(B12)&lt;=3,"2T","3T")))</f>
        <v/>
      </c>
      <c r="O12" s="13">
        <f>IF(OR(B12="",H12="",J12=""),"",IFERROR(J12/H12,""))</f>
        <v/>
      </c>
      <c r="P12" s="14">
        <f>IF(OR(B12="",K12=""),"",IFERROR(K12/IF(J12="",I12,J12),""))</f>
        <v/>
      </c>
      <c r="Q12" s="12">
        <f>IF(OR(M12&lt;&gt;"Prevista",H12="",I12=""),"",MAX(H12-I12,0))</f>
        <v/>
      </c>
      <c r="R12" s="21">
        <f>IF(B12="","",IF(AND(M12="Prevista",N(Q12)&gt;0),"Faltan autorizaciones",IF(AND(M12="Realizada",N(J12)&gt;N(I12)),"Participan más que autorizados",IF(AND(M12="Realizada",J12=""),"Falta nº de participantes",""))))</f>
        <v/>
      </c>
      <c r="S12" s="23">
        <f>IF(OR(M12&lt;&gt;"Realizada",L12=""),"",L12+(1000-ROW())/100000)</f>
        <v/>
      </c>
    </row>
    <row r="13">
      <c r="B13" s="28" t="n">
        <v>46044</v>
      </c>
      <c r="C13" s="29" t="inlineStr">
        <is>
          <t>Torneo de ajedrez interescolar</t>
        </is>
      </c>
      <c r="D13" s="29" t="inlineStr">
        <is>
          <t>Extraescolar</t>
        </is>
      </c>
      <c r="E13" s="29" t="inlineStr">
        <is>
          <t>Club de ajedrez</t>
        </is>
      </c>
      <c r="F13" s="29" t="inlineStr">
        <is>
          <t>Iván Mora</t>
        </is>
      </c>
      <c r="G13" s="29" t="inlineStr">
        <is>
          <t>Razonamiento lógico y deportividad</t>
        </is>
      </c>
      <c r="H13" s="30" t="n">
        <v>12</v>
      </c>
      <c r="I13" s="30" t="n">
        <v>12</v>
      </c>
      <c r="J13" s="30" t="n">
        <v>12</v>
      </c>
      <c r="K13" s="15" t="n">
        <v>96</v>
      </c>
      <c r="L13" s="30" t="n">
        <v>5</v>
      </c>
      <c r="M13" s="31" t="inlineStr">
        <is>
          <t>Realizada</t>
        </is>
      </c>
      <c r="N13" s="16">
        <f>IF(B13="","",IF(MONTH(B13)&gt;=9,"1T",IF(MONTH(B13)&lt;=3,"2T","3T")))</f>
        <v/>
      </c>
      <c r="O13" s="13">
        <f>IF(OR(B13="",H13="",J13=""),"",IFERROR(J13/H13,""))</f>
        <v/>
      </c>
      <c r="P13" s="14">
        <f>IF(OR(B13="",K13=""),"",IFERROR(K13/IF(J13="",I13,J13),""))</f>
        <v/>
      </c>
      <c r="Q13" s="12">
        <f>IF(OR(M13&lt;&gt;"Prevista",H13="",I13=""),"",MAX(H13-I13,0))</f>
        <v/>
      </c>
      <c r="R13" s="21">
        <f>IF(B13="","",IF(AND(M13="Prevista",N(Q13)&gt;0),"Faltan autorizaciones",IF(AND(M13="Realizada",N(J13)&gt;N(I13)),"Participan más que autorizados",IF(AND(M13="Realizada",J13=""),"Falta nº de participantes",""))))</f>
        <v/>
      </c>
      <c r="S13" s="23">
        <f>IF(OR(M13&lt;&gt;"Realizada",L13=""),"",L13+(1000-ROW())/100000)</f>
        <v/>
      </c>
    </row>
    <row r="14">
      <c r="B14" s="28" t="n">
        <v>46065</v>
      </c>
      <c r="C14" s="29" t="inlineStr">
        <is>
          <t>Visita a la central hidroeléctrica</t>
        </is>
      </c>
      <c r="D14" s="29" t="inlineStr">
        <is>
          <t>Complementaria</t>
        </is>
      </c>
      <c r="E14" s="29" t="inlineStr">
        <is>
          <t>4º ESO A</t>
        </is>
      </c>
      <c r="F14" s="29" t="inlineStr">
        <is>
          <t>Pablo Núñez</t>
        </is>
      </c>
      <c r="G14" s="29" t="inlineStr">
        <is>
          <t>Energías renovables y tecnología</t>
        </is>
      </c>
      <c r="H14" s="30" t="n">
        <v>22</v>
      </c>
      <c r="I14" s="30" t="n">
        <v>21</v>
      </c>
      <c r="J14" s="30" t="n">
        <v>20</v>
      </c>
      <c r="K14" s="15" t="n">
        <v>410</v>
      </c>
      <c r="L14" s="30" t="n">
        <v>4</v>
      </c>
      <c r="M14" s="31" t="inlineStr">
        <is>
          <t>Realizada</t>
        </is>
      </c>
      <c r="N14" s="16">
        <f>IF(B14="","",IF(MONTH(B14)&gt;=9,"1T",IF(MONTH(B14)&lt;=3,"2T","3T")))</f>
        <v/>
      </c>
      <c r="O14" s="13">
        <f>IF(OR(B14="",H14="",J14=""),"",IFERROR(J14/H14,""))</f>
        <v/>
      </c>
      <c r="P14" s="14">
        <f>IF(OR(B14="",K14=""),"",IFERROR(K14/IF(J14="",I14,J14),""))</f>
        <v/>
      </c>
      <c r="Q14" s="12">
        <f>IF(OR(M14&lt;&gt;"Prevista",H14="",I14=""),"",MAX(H14-I14,0))</f>
        <v/>
      </c>
      <c r="R14" s="21">
        <f>IF(B14="","",IF(AND(M14="Prevista",N(Q14)&gt;0),"Faltan autorizaciones",IF(AND(M14="Realizada",N(J14)&gt;N(I14)),"Participan más que autorizados",IF(AND(M14="Realizada",J14=""),"Falta nº de participantes",""))))</f>
        <v/>
      </c>
      <c r="S14" s="23">
        <f>IF(OR(M14&lt;&gt;"Realizada",L14=""),"",L14+(1000-ROW())/100000)</f>
        <v/>
      </c>
    </row>
    <row r="15">
      <c r="B15" s="28" t="n">
        <v>46086</v>
      </c>
      <c r="C15" s="29" t="inlineStr">
        <is>
          <t>Teatro en inglés: Romeo and Juliet</t>
        </is>
      </c>
      <c r="D15" s="29" t="inlineStr">
        <is>
          <t>Complementaria</t>
        </is>
      </c>
      <c r="E15" s="29" t="inlineStr">
        <is>
          <t>3º ESO A</t>
        </is>
      </c>
      <c r="F15" s="29" t="inlineStr">
        <is>
          <t>Elena Soto</t>
        </is>
      </c>
      <c r="G15" s="29" t="inlineStr">
        <is>
          <t>Comprensión oral en inglés y literatura</t>
        </is>
      </c>
      <c r="H15" s="30" t="n">
        <v>28</v>
      </c>
      <c r="I15" s="30" t="n">
        <v>27</v>
      </c>
      <c r="J15" s="30" t="n">
        <v>27</v>
      </c>
      <c r="K15" s="15" t="n">
        <v>378</v>
      </c>
      <c r="L15" s="30" t="n">
        <v>4</v>
      </c>
      <c r="M15" s="31" t="inlineStr">
        <is>
          <t>Realizada</t>
        </is>
      </c>
      <c r="N15" s="16">
        <f>IF(B15="","",IF(MONTH(B15)&gt;=9,"1T",IF(MONTH(B15)&lt;=3,"2T","3T")))</f>
        <v/>
      </c>
      <c r="O15" s="13">
        <f>IF(OR(B15="",H15="",J15=""),"",IFERROR(J15/H15,""))</f>
        <v/>
      </c>
      <c r="P15" s="14">
        <f>IF(OR(B15="",K15=""),"",IFERROR(K15/IF(J15="",I15,J15),""))</f>
        <v/>
      </c>
      <c r="Q15" s="12">
        <f>IF(OR(M15&lt;&gt;"Prevista",H15="",I15=""),"",MAX(H15-I15,0))</f>
        <v/>
      </c>
      <c r="R15" s="21">
        <f>IF(B15="","",IF(AND(M15="Prevista",N(Q15)&gt;0),"Faltan autorizaciones",IF(AND(M15="Realizada",N(J15)&gt;N(I15)),"Participan más que autorizados",IF(AND(M15="Realizada",J15=""),"Falta nº de participantes",""))))</f>
        <v/>
      </c>
      <c r="S15" s="23">
        <f>IF(OR(M15&lt;&gt;"Realizada",L15=""),"",L15+(1000-ROW())/100000)</f>
        <v/>
      </c>
    </row>
    <row r="16">
      <c r="B16" s="28" t="n">
        <v>46099</v>
      </c>
      <c r="C16" s="29" t="inlineStr">
        <is>
          <t>Jornada de senderismo en la sierra</t>
        </is>
      </c>
      <c r="D16" s="29" t="inlineStr">
        <is>
          <t>Extraescolar</t>
        </is>
      </c>
      <c r="E16" s="29" t="inlineStr">
        <is>
          <t>2º ESO A</t>
        </is>
      </c>
      <c r="F16" s="29" t="inlineStr">
        <is>
          <t>Luis Ramos</t>
        </is>
      </c>
      <c r="G16" s="29" t="inlineStr">
        <is>
          <t>Convivencia y educación física al aire libre</t>
        </is>
      </c>
      <c r="H16" s="30" t="n">
        <v>24</v>
      </c>
      <c r="I16" s="30" t="n">
        <v>22</v>
      </c>
      <c r="J16" s="30" t="n">
        <v>22</v>
      </c>
      <c r="K16" s="15" t="n">
        <v>264</v>
      </c>
      <c r="L16" s="30" t="n">
        <v>5</v>
      </c>
      <c r="M16" s="31" t="inlineStr">
        <is>
          <t>Realizada</t>
        </is>
      </c>
      <c r="N16" s="16">
        <f>IF(B16="","",IF(MONTH(B16)&gt;=9,"1T",IF(MONTH(B16)&lt;=3,"2T","3T")))</f>
        <v/>
      </c>
      <c r="O16" s="13">
        <f>IF(OR(B16="",H16="",J16=""),"",IFERROR(J16/H16,""))</f>
        <v/>
      </c>
      <c r="P16" s="14">
        <f>IF(OR(B16="",K16=""),"",IFERROR(K16/IF(J16="",I16,J16),""))</f>
        <v/>
      </c>
      <c r="Q16" s="12">
        <f>IF(OR(M16&lt;&gt;"Prevista",H16="",I16=""),"",MAX(H16-I16,0))</f>
        <v/>
      </c>
      <c r="R16" s="21">
        <f>IF(B16="","",IF(AND(M16="Prevista",N(Q16)&gt;0),"Faltan autorizaciones",IF(AND(M16="Realizada",N(J16)&gt;N(I16)),"Participan más que autorizados",IF(AND(M16="Realizada",J16=""),"Falta nº de participantes",""))))</f>
        <v/>
      </c>
      <c r="S16" s="23">
        <f>IF(OR(M16&lt;&gt;"Realizada",L16=""),"",L16+(1000-ROW())/100000)</f>
        <v/>
      </c>
    </row>
    <row r="17">
      <c r="B17" s="28" t="n">
        <v>46135</v>
      </c>
      <c r="C17" s="29" t="inlineStr">
        <is>
          <t>Visita a la biblioteca (Día del Libro)</t>
        </is>
      </c>
      <c r="D17" s="29" t="inlineStr">
        <is>
          <t>Complementaria</t>
        </is>
      </c>
      <c r="E17" s="29" t="inlineStr">
        <is>
          <t>1º ESO A</t>
        </is>
      </c>
      <c r="F17" s="29" t="inlineStr">
        <is>
          <t>Marta Gil</t>
        </is>
      </c>
      <c r="G17" s="29" t="inlineStr">
        <is>
          <t>Fomento de la lectura</t>
        </is>
      </c>
      <c r="H17" s="30" t="n">
        <v>26</v>
      </c>
      <c r="I17" s="30" t="n">
        <v>26</v>
      </c>
      <c r="J17" s="30" t="n">
        <v>26</v>
      </c>
      <c r="K17" s="15" t="n">
        <v>0</v>
      </c>
      <c r="L17" s="30" t="n">
        <v>4</v>
      </c>
      <c r="M17" s="31" t="inlineStr">
        <is>
          <t>Realizada</t>
        </is>
      </c>
      <c r="N17" s="16">
        <f>IF(B17="","",IF(MONTH(B17)&gt;=9,"1T",IF(MONTH(B17)&lt;=3,"2T","3T")))</f>
        <v/>
      </c>
      <c r="O17" s="13">
        <f>IF(OR(B17="",H17="",J17=""),"",IFERROR(J17/H17,""))</f>
        <v/>
      </c>
      <c r="P17" s="14">
        <f>IF(OR(B17="",K17=""),"",IFERROR(K17/IF(J17="",I17,J17),""))</f>
        <v/>
      </c>
      <c r="Q17" s="12">
        <f>IF(OR(M17&lt;&gt;"Prevista",H17="",I17=""),"",MAX(H17-I17,0))</f>
        <v/>
      </c>
      <c r="R17" s="21">
        <f>IF(B17="","",IF(AND(M17="Prevista",N(Q17)&gt;0),"Faltan autorizaciones",IF(AND(M17="Realizada",N(J17)&gt;N(I17)),"Participan más que autorizados",IF(AND(M17="Realizada",J17=""),"Falta nº de participantes",""))))</f>
        <v/>
      </c>
      <c r="S17" s="23">
        <f>IF(OR(M17&lt;&gt;"Realizada",L17=""),"",L17+(1000-ROW())/100000)</f>
        <v/>
      </c>
    </row>
    <row r="18">
      <c r="B18" s="28" t="n">
        <v>46156</v>
      </c>
      <c r="C18" s="29" t="inlineStr">
        <is>
          <t>Excursión al parque de aventura</t>
        </is>
      </c>
      <c r="D18" s="29" t="inlineStr">
        <is>
          <t>Extraescolar</t>
        </is>
      </c>
      <c r="E18" s="29" t="inlineStr">
        <is>
          <t>2º ESO B</t>
        </is>
      </c>
      <c r="F18" s="29" t="inlineStr">
        <is>
          <t>Carmen Pastor</t>
        </is>
      </c>
      <c r="G18" s="29" t="inlineStr">
        <is>
          <t>Cohesión de grupo y deporte</t>
        </is>
      </c>
      <c r="H18" s="30" t="n">
        <v>25</v>
      </c>
      <c r="I18" s="30" t="n">
        <v>25</v>
      </c>
      <c r="J18" s="30" t="n">
        <v>24</v>
      </c>
      <c r="K18" s="15" t="n">
        <v>600</v>
      </c>
      <c r="L18" s="30" t="n">
        <v>5</v>
      </c>
      <c r="M18" s="31" t="inlineStr">
        <is>
          <t>Realizada</t>
        </is>
      </c>
      <c r="N18" s="16">
        <f>IF(B18="","",IF(MONTH(B18)&gt;=9,"1T",IF(MONTH(B18)&lt;=3,"2T","3T")))</f>
        <v/>
      </c>
      <c r="O18" s="13">
        <f>IF(OR(B18="",H18="",J18=""),"",IFERROR(J18/H18,""))</f>
        <v/>
      </c>
      <c r="P18" s="14">
        <f>IF(OR(B18="",K18=""),"",IFERROR(K18/IF(J18="",I18,J18),""))</f>
        <v/>
      </c>
      <c r="Q18" s="12">
        <f>IF(OR(M18&lt;&gt;"Prevista",H18="",I18=""),"",MAX(H18-I18,0))</f>
        <v/>
      </c>
      <c r="R18" s="21">
        <f>IF(B18="","",IF(AND(M18="Prevista",N(Q18)&gt;0),"Faltan autorizaciones",IF(AND(M18="Realizada",N(J18)&gt;N(I18)),"Participan más que autorizados",IF(AND(M18="Realizada",J18=""),"Falta nº de participantes",""))))</f>
        <v/>
      </c>
      <c r="S18" s="23">
        <f>IF(OR(M18&lt;&gt;"Realizada",L18=""),"",L18+(1000-ROW())/100000)</f>
        <v/>
      </c>
    </row>
    <row r="19">
      <c r="B19" s="28" t="n">
        <v>46177</v>
      </c>
      <c r="C19" s="29" t="inlineStr">
        <is>
          <t>Viaje de fin de curso: parque temático</t>
        </is>
      </c>
      <c r="D19" s="29" t="inlineStr">
        <is>
          <t>Extraescolar</t>
        </is>
      </c>
      <c r="E19" s="29" t="inlineStr">
        <is>
          <t>4º ESO A</t>
        </is>
      </c>
      <c r="F19" s="29" t="inlineStr">
        <is>
          <t>Pablo Núñez</t>
        </is>
      </c>
      <c r="G19" s="29" t="inlineStr">
        <is>
          <t>Convivencia y cierre de etapa</t>
        </is>
      </c>
      <c r="H19" s="30" t="n">
        <v>22</v>
      </c>
      <c r="I19" s="30" t="n">
        <v>19</v>
      </c>
      <c r="J19" s="30" t="n"/>
      <c r="K19" s="15" t="n">
        <v>1980</v>
      </c>
      <c r="L19" s="30" t="n"/>
      <c r="M19" s="31" t="inlineStr">
        <is>
          <t>Prevista</t>
        </is>
      </c>
      <c r="N19" s="16">
        <f>IF(B19="","",IF(MONTH(B19)&gt;=9,"1T",IF(MONTH(B19)&lt;=3,"2T","3T")))</f>
        <v/>
      </c>
      <c r="O19" s="13">
        <f>IF(OR(B19="",H19="",J19=""),"",IFERROR(J19/H19,""))</f>
        <v/>
      </c>
      <c r="P19" s="14">
        <f>IF(OR(B19="",K19=""),"",IFERROR(K19/IF(J19="",I19,J19),""))</f>
        <v/>
      </c>
      <c r="Q19" s="12">
        <f>IF(OR(M19&lt;&gt;"Prevista",H19="",I19=""),"",MAX(H19-I19,0))</f>
        <v/>
      </c>
      <c r="R19" s="21">
        <f>IF(B19="","",IF(AND(M19="Prevista",N(Q19)&gt;0),"Faltan autorizaciones",IF(AND(M19="Realizada",N(J19)&gt;N(I19)),"Participan más que autorizados",IF(AND(M19="Realizada",J19=""),"Falta nº de participantes",""))))</f>
        <v/>
      </c>
      <c r="S19" s="23">
        <f>IF(OR(M19&lt;&gt;"Realizada",L19=""),"",L19+(1000-ROW())/100000)</f>
        <v/>
      </c>
    </row>
    <row r="20">
      <c r="B20" s="28" t="n">
        <v>46184</v>
      </c>
      <c r="C20" s="29" t="inlineStr">
        <is>
          <t>Olimpiadas escolares</t>
        </is>
      </c>
      <c r="D20" s="29" t="inlineStr">
        <is>
          <t>Extraescolar</t>
        </is>
      </c>
      <c r="E20" s="29" t="inlineStr">
        <is>
          <t>Varios grupos</t>
        </is>
      </c>
      <c r="F20" s="29" t="inlineStr">
        <is>
          <t>Jefatura</t>
        </is>
      </c>
      <c r="G20" s="29" t="inlineStr">
        <is>
          <t>Deporte y participación entre niveles</t>
        </is>
      </c>
      <c r="H20" s="30" t="n">
        <v>60</v>
      </c>
      <c r="I20" s="30" t="n">
        <v>31</v>
      </c>
      <c r="J20" s="30" t="n"/>
      <c r="K20" s="15" t="n">
        <v>150</v>
      </c>
      <c r="L20" s="30" t="n"/>
      <c r="M20" s="31" t="inlineStr">
        <is>
          <t>Cancelada</t>
        </is>
      </c>
      <c r="N20" s="16">
        <f>IF(B20="","",IF(MONTH(B20)&gt;=9,"1T",IF(MONTH(B20)&lt;=3,"2T","3T")))</f>
        <v/>
      </c>
      <c r="O20" s="13">
        <f>IF(OR(B20="",H20="",J20=""),"",IFERROR(J20/H20,""))</f>
        <v/>
      </c>
      <c r="P20" s="14">
        <f>IF(OR(B20="",K20=""),"",IFERROR(K20/IF(J20="",I20,J20),""))</f>
        <v/>
      </c>
      <c r="Q20" s="12">
        <f>IF(OR(M20&lt;&gt;"Prevista",H20="",I20=""),"",MAX(H20-I20,0))</f>
        <v/>
      </c>
      <c r="R20" s="21">
        <f>IF(B20="","",IF(AND(M20="Prevista",N(Q20)&gt;0),"Faltan autorizaciones",IF(AND(M20="Realizada",N(J20)&gt;N(I20)),"Participan más que autorizados",IF(AND(M20="Realizada",J20=""),"Falta nº de participantes",""))))</f>
        <v/>
      </c>
      <c r="S20" s="23">
        <f>IF(OR(M20&lt;&gt;"Realizada",L20=""),"",L20+(1000-ROW())/100000)</f>
        <v/>
      </c>
    </row>
    <row r="21">
      <c r="B21" s="28" t="n"/>
      <c r="C21" s="29" t="n"/>
      <c r="D21" s="29" t="n"/>
      <c r="E21" s="29" t="n"/>
      <c r="F21" s="29" t="n"/>
      <c r="G21" s="29" t="n"/>
      <c r="H21" s="30" t="n"/>
      <c r="I21" s="30" t="n"/>
      <c r="J21" s="30" t="n"/>
      <c r="K21" s="15" t="n"/>
      <c r="L21" s="30" t="n"/>
      <c r="M21" s="31" t="n"/>
      <c r="N21" s="16">
        <f>IF(B21="","",IF(MONTH(B21)&gt;=9,"1T",IF(MONTH(B21)&lt;=3,"2T","3T")))</f>
        <v/>
      </c>
      <c r="O21" s="13">
        <f>IF(OR(B21="",H21="",J21=""),"",IFERROR(J21/H21,""))</f>
        <v/>
      </c>
      <c r="P21" s="14">
        <f>IF(OR(B21="",K21=""),"",IFERROR(K21/IF(J21="",I21,J21),""))</f>
        <v/>
      </c>
      <c r="Q21" s="12">
        <f>IF(OR(M21&lt;&gt;"Prevista",H21="",I21=""),"",MAX(H21-I21,0))</f>
        <v/>
      </c>
      <c r="R21" s="21">
        <f>IF(B21="","",IF(AND(M21="Prevista",N(Q21)&gt;0),"Faltan autorizaciones",IF(AND(M21="Realizada",N(J21)&gt;N(I21)),"Participan más que autorizados",IF(AND(M21="Realizada",J21=""),"Falta nº de participantes",""))))</f>
        <v/>
      </c>
      <c r="S21" s="23">
        <f>IF(OR(M21&lt;&gt;"Realizada",L21=""),"",L21+(1000-ROW())/100000)</f>
        <v/>
      </c>
    </row>
    <row r="22">
      <c r="B22" s="28" t="n"/>
      <c r="C22" s="29" t="n"/>
      <c r="D22" s="29" t="n"/>
      <c r="E22" s="29" t="n"/>
      <c r="F22" s="29" t="n"/>
      <c r="G22" s="29" t="n"/>
      <c r="H22" s="30" t="n"/>
      <c r="I22" s="30" t="n"/>
      <c r="J22" s="30" t="n"/>
      <c r="K22" s="15" t="n"/>
      <c r="L22" s="30" t="n"/>
      <c r="M22" s="31" t="n"/>
      <c r="N22" s="16">
        <f>IF(B22="","",IF(MONTH(B22)&gt;=9,"1T",IF(MONTH(B22)&lt;=3,"2T","3T")))</f>
        <v/>
      </c>
      <c r="O22" s="13">
        <f>IF(OR(B22="",H22="",J22=""),"",IFERROR(J22/H22,""))</f>
        <v/>
      </c>
      <c r="P22" s="14">
        <f>IF(OR(B22="",K22=""),"",IFERROR(K22/IF(J22="",I22,J22),""))</f>
        <v/>
      </c>
      <c r="Q22" s="12">
        <f>IF(OR(M22&lt;&gt;"Prevista",H22="",I22=""),"",MAX(H22-I22,0))</f>
        <v/>
      </c>
      <c r="R22" s="21">
        <f>IF(B22="","",IF(AND(M22="Prevista",N(Q22)&gt;0),"Faltan autorizaciones",IF(AND(M22="Realizada",N(J22)&gt;N(I22)),"Participan más que autorizados",IF(AND(M22="Realizada",J22=""),"Falta nº de participantes",""))))</f>
        <v/>
      </c>
      <c r="S22" s="23">
        <f>IF(OR(M22&lt;&gt;"Realizada",L22=""),"",L22+(1000-ROW())/100000)</f>
        <v/>
      </c>
    </row>
    <row r="23">
      <c r="B23" s="28" t="n"/>
      <c r="C23" s="29" t="n"/>
      <c r="D23" s="29" t="n"/>
      <c r="E23" s="29" t="n"/>
      <c r="F23" s="29" t="n"/>
      <c r="G23" s="29" t="n"/>
      <c r="H23" s="30" t="n"/>
      <c r="I23" s="30" t="n"/>
      <c r="J23" s="30" t="n"/>
      <c r="K23" s="15" t="n"/>
      <c r="L23" s="30" t="n"/>
      <c r="M23" s="31" t="n"/>
      <c r="N23" s="16">
        <f>IF(B23="","",IF(MONTH(B23)&gt;=9,"1T",IF(MONTH(B23)&lt;=3,"2T","3T")))</f>
        <v/>
      </c>
      <c r="O23" s="13">
        <f>IF(OR(B23="",H23="",J23=""),"",IFERROR(J23/H23,""))</f>
        <v/>
      </c>
      <c r="P23" s="14">
        <f>IF(OR(B23="",K23=""),"",IFERROR(K23/IF(J23="",I23,J23),""))</f>
        <v/>
      </c>
      <c r="Q23" s="12">
        <f>IF(OR(M23&lt;&gt;"Prevista",H23="",I23=""),"",MAX(H23-I23,0))</f>
        <v/>
      </c>
      <c r="R23" s="21">
        <f>IF(B23="","",IF(AND(M23="Prevista",N(Q23)&gt;0),"Faltan autorizaciones",IF(AND(M23="Realizada",N(J23)&gt;N(I23)),"Participan más que autorizados",IF(AND(M23="Realizada",J23=""),"Falta nº de participantes",""))))</f>
        <v/>
      </c>
      <c r="S23" s="23">
        <f>IF(OR(M23&lt;&gt;"Realizada",L23=""),"",L23+(1000-ROW())/100000)</f>
        <v/>
      </c>
    </row>
    <row r="24">
      <c r="B24" s="28" t="n"/>
      <c r="C24" s="29" t="n"/>
      <c r="D24" s="29" t="n"/>
      <c r="E24" s="29" t="n"/>
      <c r="F24" s="29" t="n"/>
      <c r="G24" s="29" t="n"/>
      <c r="H24" s="30" t="n"/>
      <c r="I24" s="30" t="n"/>
      <c r="J24" s="30" t="n"/>
      <c r="K24" s="15" t="n"/>
      <c r="L24" s="30" t="n"/>
      <c r="M24" s="31" t="n"/>
      <c r="N24" s="16">
        <f>IF(B24="","",IF(MONTH(B24)&gt;=9,"1T",IF(MONTH(B24)&lt;=3,"2T","3T")))</f>
        <v/>
      </c>
      <c r="O24" s="13">
        <f>IF(OR(B24="",H24="",J24=""),"",IFERROR(J24/H24,""))</f>
        <v/>
      </c>
      <c r="P24" s="14">
        <f>IF(OR(B24="",K24=""),"",IFERROR(K24/IF(J24="",I24,J24),""))</f>
        <v/>
      </c>
      <c r="Q24" s="12">
        <f>IF(OR(M24&lt;&gt;"Prevista",H24="",I24=""),"",MAX(H24-I24,0))</f>
        <v/>
      </c>
      <c r="R24" s="21">
        <f>IF(B24="","",IF(AND(M24="Prevista",N(Q24)&gt;0),"Faltan autorizaciones",IF(AND(M24="Realizada",N(J24)&gt;N(I24)),"Participan más que autorizados",IF(AND(M24="Realizada",J24=""),"Falta nº de participantes",""))))</f>
        <v/>
      </c>
      <c r="S24" s="23">
        <f>IF(OR(M24&lt;&gt;"Realizada",L24=""),"",L24+(1000-ROW())/100000)</f>
        <v/>
      </c>
    </row>
    <row r="25">
      <c r="B25" s="28" t="n"/>
      <c r="C25" s="29" t="n"/>
      <c r="D25" s="29" t="n"/>
      <c r="E25" s="29" t="n"/>
      <c r="F25" s="29" t="n"/>
      <c r="G25" s="29" t="n"/>
      <c r="H25" s="30" t="n"/>
      <c r="I25" s="30" t="n"/>
      <c r="J25" s="30" t="n"/>
      <c r="K25" s="15" t="n"/>
      <c r="L25" s="30" t="n"/>
      <c r="M25" s="31" t="n"/>
      <c r="N25" s="16">
        <f>IF(B25="","",IF(MONTH(B25)&gt;=9,"1T",IF(MONTH(B25)&lt;=3,"2T","3T")))</f>
        <v/>
      </c>
      <c r="O25" s="13">
        <f>IF(OR(B25="",H25="",J25=""),"",IFERROR(J25/H25,""))</f>
        <v/>
      </c>
      <c r="P25" s="14">
        <f>IF(OR(B25="",K25=""),"",IFERROR(K25/IF(J25="",I25,J25),""))</f>
        <v/>
      </c>
      <c r="Q25" s="12">
        <f>IF(OR(M25&lt;&gt;"Prevista",H25="",I25=""),"",MAX(H25-I25,0))</f>
        <v/>
      </c>
      <c r="R25" s="21">
        <f>IF(B25="","",IF(AND(M25="Prevista",N(Q25)&gt;0),"Faltan autorizaciones",IF(AND(M25="Realizada",N(J25)&gt;N(I25)),"Participan más que autorizados",IF(AND(M25="Realizada",J25=""),"Falta nº de participantes",""))))</f>
        <v/>
      </c>
      <c r="S25" s="23">
        <f>IF(OR(M25&lt;&gt;"Realizada",L25=""),"",L25+(1000-ROW())/100000)</f>
        <v/>
      </c>
    </row>
    <row r="26">
      <c r="B26" s="28" t="n"/>
      <c r="C26" s="29" t="n"/>
      <c r="D26" s="29" t="n"/>
      <c r="E26" s="29" t="n"/>
      <c r="F26" s="29" t="n"/>
      <c r="G26" s="29" t="n"/>
      <c r="H26" s="30" t="n"/>
      <c r="I26" s="30" t="n"/>
      <c r="J26" s="30" t="n"/>
      <c r="K26" s="15" t="n"/>
      <c r="L26" s="30" t="n"/>
      <c r="M26" s="31" t="n"/>
      <c r="N26" s="16">
        <f>IF(B26="","",IF(MONTH(B26)&gt;=9,"1T",IF(MONTH(B26)&lt;=3,"2T","3T")))</f>
        <v/>
      </c>
      <c r="O26" s="13">
        <f>IF(OR(B26="",H26="",J26=""),"",IFERROR(J26/H26,""))</f>
        <v/>
      </c>
      <c r="P26" s="14">
        <f>IF(OR(B26="",K26=""),"",IFERROR(K26/IF(J26="",I26,J26),""))</f>
        <v/>
      </c>
      <c r="Q26" s="12">
        <f>IF(OR(M26&lt;&gt;"Prevista",H26="",I26=""),"",MAX(H26-I26,0))</f>
        <v/>
      </c>
      <c r="R26" s="21">
        <f>IF(B26="","",IF(AND(M26="Prevista",N(Q26)&gt;0),"Faltan autorizaciones",IF(AND(M26="Realizada",N(J26)&gt;N(I26)),"Participan más que autorizados",IF(AND(M26="Realizada",J26=""),"Falta nº de participantes",""))))</f>
        <v/>
      </c>
      <c r="S26" s="23">
        <f>IF(OR(M26&lt;&gt;"Realizada",L26=""),"",L26+(1000-ROW())/100000)</f>
        <v/>
      </c>
    </row>
    <row r="27">
      <c r="B27" s="28" t="n"/>
      <c r="C27" s="29" t="n"/>
      <c r="D27" s="29" t="n"/>
      <c r="E27" s="29" t="n"/>
      <c r="F27" s="29" t="n"/>
      <c r="G27" s="29" t="n"/>
      <c r="H27" s="30" t="n"/>
      <c r="I27" s="30" t="n"/>
      <c r="J27" s="30" t="n"/>
      <c r="K27" s="15" t="n"/>
      <c r="L27" s="30" t="n"/>
      <c r="M27" s="31" t="n"/>
      <c r="N27" s="16">
        <f>IF(B27="","",IF(MONTH(B27)&gt;=9,"1T",IF(MONTH(B27)&lt;=3,"2T","3T")))</f>
        <v/>
      </c>
      <c r="O27" s="13">
        <f>IF(OR(B27="",H27="",J27=""),"",IFERROR(J27/H27,""))</f>
        <v/>
      </c>
      <c r="P27" s="14">
        <f>IF(OR(B27="",K27=""),"",IFERROR(K27/IF(J27="",I27,J27),""))</f>
        <v/>
      </c>
      <c r="Q27" s="12">
        <f>IF(OR(M27&lt;&gt;"Prevista",H27="",I27=""),"",MAX(H27-I27,0))</f>
        <v/>
      </c>
      <c r="R27" s="21">
        <f>IF(B27="","",IF(AND(M27="Prevista",N(Q27)&gt;0),"Faltan autorizaciones",IF(AND(M27="Realizada",N(J27)&gt;N(I27)),"Participan más que autorizados",IF(AND(M27="Realizada",J27=""),"Falta nº de participantes",""))))</f>
        <v/>
      </c>
      <c r="S27" s="23">
        <f>IF(OR(M27&lt;&gt;"Realizada",L27=""),"",L27+(1000-ROW())/100000)</f>
        <v/>
      </c>
    </row>
    <row r="28">
      <c r="B28" s="28" t="n"/>
      <c r="C28" s="29" t="n"/>
      <c r="D28" s="29" t="n"/>
      <c r="E28" s="29" t="n"/>
      <c r="F28" s="29" t="n"/>
      <c r="G28" s="29" t="n"/>
      <c r="H28" s="30" t="n"/>
      <c r="I28" s="30" t="n"/>
      <c r="J28" s="30" t="n"/>
      <c r="K28" s="15" t="n"/>
      <c r="L28" s="30" t="n"/>
      <c r="M28" s="31" t="n"/>
      <c r="N28" s="16">
        <f>IF(B28="","",IF(MONTH(B28)&gt;=9,"1T",IF(MONTH(B28)&lt;=3,"2T","3T")))</f>
        <v/>
      </c>
      <c r="O28" s="13">
        <f>IF(OR(B28="",H28="",J28=""),"",IFERROR(J28/H28,""))</f>
        <v/>
      </c>
      <c r="P28" s="14">
        <f>IF(OR(B28="",K28=""),"",IFERROR(K28/IF(J28="",I28,J28),""))</f>
        <v/>
      </c>
      <c r="Q28" s="12">
        <f>IF(OR(M28&lt;&gt;"Prevista",H28="",I28=""),"",MAX(H28-I28,0))</f>
        <v/>
      </c>
      <c r="R28" s="21">
        <f>IF(B28="","",IF(AND(M28="Prevista",N(Q28)&gt;0),"Faltan autorizaciones",IF(AND(M28="Realizada",N(J28)&gt;N(I28)),"Participan más que autorizados",IF(AND(M28="Realizada",J28=""),"Falta nº de participantes",""))))</f>
        <v/>
      </c>
      <c r="S28" s="23">
        <f>IF(OR(M28&lt;&gt;"Realizada",L28=""),"",L28+(1000-ROW())/100000)</f>
        <v/>
      </c>
    </row>
    <row r="29">
      <c r="B29" s="28" t="n"/>
      <c r="C29" s="29" t="n"/>
      <c r="D29" s="29" t="n"/>
      <c r="E29" s="29" t="n"/>
      <c r="F29" s="29" t="n"/>
      <c r="G29" s="29" t="n"/>
      <c r="H29" s="30" t="n"/>
      <c r="I29" s="30" t="n"/>
      <c r="J29" s="30" t="n"/>
      <c r="K29" s="15" t="n"/>
      <c r="L29" s="30" t="n"/>
      <c r="M29" s="31" t="n"/>
      <c r="N29" s="16">
        <f>IF(B29="","",IF(MONTH(B29)&gt;=9,"1T",IF(MONTH(B29)&lt;=3,"2T","3T")))</f>
        <v/>
      </c>
      <c r="O29" s="13">
        <f>IF(OR(B29="",H29="",J29=""),"",IFERROR(J29/H29,""))</f>
        <v/>
      </c>
      <c r="P29" s="14">
        <f>IF(OR(B29="",K29=""),"",IFERROR(K29/IF(J29="",I29,J29),""))</f>
        <v/>
      </c>
      <c r="Q29" s="12">
        <f>IF(OR(M29&lt;&gt;"Prevista",H29="",I29=""),"",MAX(H29-I29,0))</f>
        <v/>
      </c>
      <c r="R29" s="21">
        <f>IF(B29="","",IF(AND(M29="Prevista",N(Q29)&gt;0),"Faltan autorizaciones",IF(AND(M29="Realizada",N(J29)&gt;N(I29)),"Participan más que autorizados",IF(AND(M29="Realizada",J29=""),"Falta nº de participantes",""))))</f>
        <v/>
      </c>
      <c r="S29" s="23">
        <f>IF(OR(M29&lt;&gt;"Realizada",L29=""),"",L29+(1000-ROW())/100000)</f>
        <v/>
      </c>
    </row>
    <row r="30">
      <c r="B30" s="28" t="n"/>
      <c r="C30" s="29" t="n"/>
      <c r="D30" s="29" t="n"/>
      <c r="E30" s="29" t="n"/>
      <c r="F30" s="29" t="n"/>
      <c r="G30" s="29" t="n"/>
      <c r="H30" s="30" t="n"/>
      <c r="I30" s="30" t="n"/>
      <c r="J30" s="30" t="n"/>
      <c r="K30" s="15" t="n"/>
      <c r="L30" s="30" t="n"/>
      <c r="M30" s="31" t="n"/>
      <c r="N30" s="16">
        <f>IF(B30="","",IF(MONTH(B30)&gt;=9,"1T",IF(MONTH(B30)&lt;=3,"2T","3T")))</f>
        <v/>
      </c>
      <c r="O30" s="13">
        <f>IF(OR(B30="",H30="",J30=""),"",IFERROR(J30/H30,""))</f>
        <v/>
      </c>
      <c r="P30" s="14">
        <f>IF(OR(B30="",K30=""),"",IFERROR(K30/IF(J30="",I30,J30),""))</f>
        <v/>
      </c>
      <c r="Q30" s="12">
        <f>IF(OR(M30&lt;&gt;"Prevista",H30="",I30=""),"",MAX(H30-I30,0))</f>
        <v/>
      </c>
      <c r="R30" s="21">
        <f>IF(B30="","",IF(AND(M30="Prevista",N(Q30)&gt;0),"Faltan autorizaciones",IF(AND(M30="Realizada",N(J30)&gt;N(I30)),"Participan más que autorizados",IF(AND(M30="Realizada",J30=""),"Falta nº de participantes",""))))</f>
        <v/>
      </c>
      <c r="S30" s="23">
        <f>IF(OR(M30&lt;&gt;"Realizada",L30=""),"",L30+(1000-ROW())/100000)</f>
        <v/>
      </c>
    </row>
    <row r="31">
      <c r="B31" s="28" t="n"/>
      <c r="C31" s="29" t="n"/>
      <c r="D31" s="29" t="n"/>
      <c r="E31" s="29" t="n"/>
      <c r="F31" s="29" t="n"/>
      <c r="G31" s="29" t="n"/>
      <c r="H31" s="30" t="n"/>
      <c r="I31" s="30" t="n"/>
      <c r="J31" s="30" t="n"/>
      <c r="K31" s="15" t="n"/>
      <c r="L31" s="30" t="n"/>
      <c r="M31" s="31" t="n"/>
      <c r="N31" s="16">
        <f>IF(B31="","",IF(MONTH(B31)&gt;=9,"1T",IF(MONTH(B31)&lt;=3,"2T","3T")))</f>
        <v/>
      </c>
      <c r="O31" s="13">
        <f>IF(OR(B31="",H31="",J31=""),"",IFERROR(J31/H31,""))</f>
        <v/>
      </c>
      <c r="P31" s="14">
        <f>IF(OR(B31="",K31=""),"",IFERROR(K31/IF(J31="",I31,J31),""))</f>
        <v/>
      </c>
      <c r="Q31" s="12">
        <f>IF(OR(M31&lt;&gt;"Prevista",H31="",I31=""),"",MAX(H31-I31,0))</f>
        <v/>
      </c>
      <c r="R31" s="21">
        <f>IF(B31="","",IF(AND(M31="Prevista",N(Q31)&gt;0),"Faltan autorizaciones",IF(AND(M31="Realizada",N(J31)&gt;N(I31)),"Participan más que autorizados",IF(AND(M31="Realizada",J31=""),"Falta nº de participantes",""))))</f>
        <v/>
      </c>
      <c r="S31" s="23">
        <f>IF(OR(M31&lt;&gt;"Realizada",L31=""),"",L31+(1000-ROW())/100000)</f>
        <v/>
      </c>
    </row>
    <row r="32">
      <c r="B32" s="28" t="n"/>
      <c r="C32" s="29" t="n"/>
      <c r="D32" s="29" t="n"/>
      <c r="E32" s="29" t="n"/>
      <c r="F32" s="29" t="n"/>
      <c r="G32" s="29" t="n"/>
      <c r="H32" s="30" t="n"/>
      <c r="I32" s="30" t="n"/>
      <c r="J32" s="30" t="n"/>
      <c r="K32" s="15" t="n"/>
      <c r="L32" s="30" t="n"/>
      <c r="M32" s="31" t="n"/>
      <c r="N32" s="16">
        <f>IF(B32="","",IF(MONTH(B32)&gt;=9,"1T",IF(MONTH(B32)&lt;=3,"2T","3T")))</f>
        <v/>
      </c>
      <c r="O32" s="13">
        <f>IF(OR(B32="",H32="",J32=""),"",IFERROR(J32/H32,""))</f>
        <v/>
      </c>
      <c r="P32" s="14">
        <f>IF(OR(B32="",K32=""),"",IFERROR(K32/IF(J32="",I32,J32),""))</f>
        <v/>
      </c>
      <c r="Q32" s="12">
        <f>IF(OR(M32&lt;&gt;"Prevista",H32="",I32=""),"",MAX(H32-I32,0))</f>
        <v/>
      </c>
      <c r="R32" s="21">
        <f>IF(B32="","",IF(AND(M32="Prevista",N(Q32)&gt;0),"Faltan autorizaciones",IF(AND(M32="Realizada",N(J32)&gt;N(I32)),"Participan más que autorizados",IF(AND(M32="Realizada",J32=""),"Falta nº de participantes",""))))</f>
        <v/>
      </c>
      <c r="S32" s="23">
        <f>IF(OR(M32&lt;&gt;"Realizada",L32=""),"",L32+(1000-ROW())/100000)</f>
        <v/>
      </c>
    </row>
    <row r="33">
      <c r="B33" s="28" t="n"/>
      <c r="C33" s="29" t="n"/>
      <c r="D33" s="29" t="n"/>
      <c r="E33" s="29" t="n"/>
      <c r="F33" s="29" t="n"/>
      <c r="G33" s="29" t="n"/>
      <c r="H33" s="30" t="n"/>
      <c r="I33" s="30" t="n"/>
      <c r="J33" s="30" t="n"/>
      <c r="K33" s="15" t="n"/>
      <c r="L33" s="30" t="n"/>
      <c r="M33" s="31" t="n"/>
      <c r="N33" s="16">
        <f>IF(B33="","",IF(MONTH(B33)&gt;=9,"1T",IF(MONTH(B33)&lt;=3,"2T","3T")))</f>
        <v/>
      </c>
      <c r="O33" s="13">
        <f>IF(OR(B33="",H33="",J33=""),"",IFERROR(J33/H33,""))</f>
        <v/>
      </c>
      <c r="P33" s="14">
        <f>IF(OR(B33="",K33=""),"",IFERROR(K33/IF(J33="",I33,J33),""))</f>
        <v/>
      </c>
      <c r="Q33" s="12">
        <f>IF(OR(M33&lt;&gt;"Prevista",H33="",I33=""),"",MAX(H33-I33,0))</f>
        <v/>
      </c>
      <c r="R33" s="21">
        <f>IF(B33="","",IF(AND(M33="Prevista",N(Q33)&gt;0),"Faltan autorizaciones",IF(AND(M33="Realizada",N(J33)&gt;N(I33)),"Participan más que autorizados",IF(AND(M33="Realizada",J33=""),"Falta nº de participantes",""))))</f>
        <v/>
      </c>
      <c r="S33" s="23">
        <f>IF(OR(M33&lt;&gt;"Realizada",L33=""),"",L33+(1000-ROW())/100000)</f>
        <v/>
      </c>
    </row>
    <row r="34">
      <c r="B34" s="28" t="n"/>
      <c r="C34" s="29" t="n"/>
      <c r="D34" s="29" t="n"/>
      <c r="E34" s="29" t="n"/>
      <c r="F34" s="29" t="n"/>
      <c r="G34" s="29" t="n"/>
      <c r="H34" s="30" t="n"/>
      <c r="I34" s="30" t="n"/>
      <c r="J34" s="30" t="n"/>
      <c r="K34" s="15" t="n"/>
      <c r="L34" s="30" t="n"/>
      <c r="M34" s="31" t="n"/>
      <c r="N34" s="16">
        <f>IF(B34="","",IF(MONTH(B34)&gt;=9,"1T",IF(MONTH(B34)&lt;=3,"2T","3T")))</f>
        <v/>
      </c>
      <c r="O34" s="13">
        <f>IF(OR(B34="",H34="",J34=""),"",IFERROR(J34/H34,""))</f>
        <v/>
      </c>
      <c r="P34" s="14">
        <f>IF(OR(B34="",K34=""),"",IFERROR(K34/IF(J34="",I34,J34),""))</f>
        <v/>
      </c>
      <c r="Q34" s="12">
        <f>IF(OR(M34&lt;&gt;"Prevista",H34="",I34=""),"",MAX(H34-I34,0))</f>
        <v/>
      </c>
      <c r="R34" s="21">
        <f>IF(B34="","",IF(AND(M34="Prevista",N(Q34)&gt;0),"Faltan autorizaciones",IF(AND(M34="Realizada",N(J34)&gt;N(I34)),"Participan más que autorizados",IF(AND(M34="Realizada",J34=""),"Falta nº de participantes",""))))</f>
        <v/>
      </c>
      <c r="S34" s="23">
        <f>IF(OR(M34&lt;&gt;"Realizada",L34=""),"",L34+(1000-ROW())/100000)</f>
        <v/>
      </c>
    </row>
    <row r="35">
      <c r="B35" s="28" t="n"/>
      <c r="C35" s="29" t="n"/>
      <c r="D35" s="29" t="n"/>
      <c r="E35" s="29" t="n"/>
      <c r="F35" s="29" t="n"/>
      <c r="G35" s="29" t="n"/>
      <c r="H35" s="30" t="n"/>
      <c r="I35" s="30" t="n"/>
      <c r="J35" s="30" t="n"/>
      <c r="K35" s="15" t="n"/>
      <c r="L35" s="30" t="n"/>
      <c r="M35" s="31" t="n"/>
      <c r="N35" s="16">
        <f>IF(B35="","",IF(MONTH(B35)&gt;=9,"1T",IF(MONTH(B35)&lt;=3,"2T","3T")))</f>
        <v/>
      </c>
      <c r="O35" s="13">
        <f>IF(OR(B35="",H35="",J35=""),"",IFERROR(J35/H35,""))</f>
        <v/>
      </c>
      <c r="P35" s="14">
        <f>IF(OR(B35="",K35=""),"",IFERROR(K35/IF(J35="",I35,J35),""))</f>
        <v/>
      </c>
      <c r="Q35" s="12">
        <f>IF(OR(M35&lt;&gt;"Prevista",H35="",I35=""),"",MAX(H35-I35,0))</f>
        <v/>
      </c>
      <c r="R35" s="21">
        <f>IF(B35="","",IF(AND(M35="Prevista",N(Q35)&gt;0),"Faltan autorizaciones",IF(AND(M35="Realizada",N(J35)&gt;N(I35)),"Participan más que autorizados",IF(AND(M35="Realizada",J35=""),"Falta nº de participantes",""))))</f>
        <v/>
      </c>
      <c r="S35" s="23">
        <f>IF(OR(M35&lt;&gt;"Realizada",L35=""),"",L35+(1000-ROW())/100000)</f>
        <v/>
      </c>
    </row>
    <row r="36">
      <c r="B36" s="28" t="n"/>
      <c r="C36" s="29" t="n"/>
      <c r="D36" s="29" t="n"/>
      <c r="E36" s="29" t="n"/>
      <c r="F36" s="29" t="n"/>
      <c r="G36" s="29" t="n"/>
      <c r="H36" s="30" t="n"/>
      <c r="I36" s="30" t="n"/>
      <c r="J36" s="30" t="n"/>
      <c r="K36" s="15" t="n"/>
      <c r="L36" s="30" t="n"/>
      <c r="M36" s="31" t="n"/>
      <c r="N36" s="16">
        <f>IF(B36="","",IF(MONTH(B36)&gt;=9,"1T",IF(MONTH(B36)&lt;=3,"2T","3T")))</f>
        <v/>
      </c>
      <c r="O36" s="13">
        <f>IF(OR(B36="",H36="",J36=""),"",IFERROR(J36/H36,""))</f>
        <v/>
      </c>
      <c r="P36" s="14">
        <f>IF(OR(B36="",K36=""),"",IFERROR(K36/IF(J36="",I36,J36),""))</f>
        <v/>
      </c>
      <c r="Q36" s="12">
        <f>IF(OR(M36&lt;&gt;"Prevista",H36="",I36=""),"",MAX(H36-I36,0))</f>
        <v/>
      </c>
      <c r="R36" s="21">
        <f>IF(B36="","",IF(AND(M36="Prevista",N(Q36)&gt;0),"Faltan autorizaciones",IF(AND(M36="Realizada",N(J36)&gt;N(I36)),"Participan más que autorizados",IF(AND(M36="Realizada",J36=""),"Falta nº de participantes",""))))</f>
        <v/>
      </c>
      <c r="S36" s="23">
        <f>IF(OR(M36&lt;&gt;"Realizada",L36=""),"",L36+(1000-ROW())/100000)</f>
        <v/>
      </c>
    </row>
    <row r="37">
      <c r="B37" s="28" t="n"/>
      <c r="C37" s="29" t="n"/>
      <c r="D37" s="29" t="n"/>
      <c r="E37" s="29" t="n"/>
      <c r="F37" s="29" t="n"/>
      <c r="G37" s="29" t="n"/>
      <c r="H37" s="30" t="n"/>
      <c r="I37" s="30" t="n"/>
      <c r="J37" s="30" t="n"/>
      <c r="K37" s="15" t="n"/>
      <c r="L37" s="30" t="n"/>
      <c r="M37" s="31" t="n"/>
      <c r="N37" s="16">
        <f>IF(B37="","",IF(MONTH(B37)&gt;=9,"1T",IF(MONTH(B37)&lt;=3,"2T","3T")))</f>
        <v/>
      </c>
      <c r="O37" s="13">
        <f>IF(OR(B37="",H37="",J37=""),"",IFERROR(J37/H37,""))</f>
        <v/>
      </c>
      <c r="P37" s="14">
        <f>IF(OR(B37="",K37=""),"",IFERROR(K37/IF(J37="",I37,J37),""))</f>
        <v/>
      </c>
      <c r="Q37" s="12">
        <f>IF(OR(M37&lt;&gt;"Prevista",H37="",I37=""),"",MAX(H37-I37,0))</f>
        <v/>
      </c>
      <c r="R37" s="21">
        <f>IF(B37="","",IF(AND(M37="Prevista",N(Q37)&gt;0),"Faltan autorizaciones",IF(AND(M37="Realizada",N(J37)&gt;N(I37)),"Participan más que autorizados",IF(AND(M37="Realizada",J37=""),"Falta nº de participantes",""))))</f>
        <v/>
      </c>
      <c r="S37" s="23">
        <f>IF(OR(M37&lt;&gt;"Realizada",L37=""),"",L37+(1000-ROW())/100000)</f>
        <v/>
      </c>
    </row>
    <row r="38">
      <c r="B38" s="28" t="n"/>
      <c r="C38" s="29" t="n"/>
      <c r="D38" s="29" t="n"/>
      <c r="E38" s="29" t="n"/>
      <c r="F38" s="29" t="n"/>
      <c r="G38" s="29" t="n"/>
      <c r="H38" s="30" t="n"/>
      <c r="I38" s="30" t="n"/>
      <c r="J38" s="30" t="n"/>
      <c r="K38" s="15" t="n"/>
      <c r="L38" s="30" t="n"/>
      <c r="M38" s="31" t="n"/>
      <c r="N38" s="16">
        <f>IF(B38="","",IF(MONTH(B38)&gt;=9,"1T",IF(MONTH(B38)&lt;=3,"2T","3T")))</f>
        <v/>
      </c>
      <c r="O38" s="13">
        <f>IF(OR(B38="",H38="",J38=""),"",IFERROR(J38/H38,""))</f>
        <v/>
      </c>
      <c r="P38" s="14">
        <f>IF(OR(B38="",K38=""),"",IFERROR(K38/IF(J38="",I38,J38),""))</f>
        <v/>
      </c>
      <c r="Q38" s="12">
        <f>IF(OR(M38&lt;&gt;"Prevista",H38="",I38=""),"",MAX(H38-I38,0))</f>
        <v/>
      </c>
      <c r="R38" s="21">
        <f>IF(B38="","",IF(AND(M38="Prevista",N(Q38)&gt;0),"Faltan autorizaciones",IF(AND(M38="Realizada",N(J38)&gt;N(I38)),"Participan más que autorizados",IF(AND(M38="Realizada",J38=""),"Falta nº de participantes",""))))</f>
        <v/>
      </c>
      <c r="S38" s="23">
        <f>IF(OR(M38&lt;&gt;"Realizada",L38=""),"",L38+(1000-ROW())/100000)</f>
        <v/>
      </c>
    </row>
    <row r="39">
      <c r="B39" s="28" t="n"/>
      <c r="C39" s="29" t="n"/>
      <c r="D39" s="29" t="n"/>
      <c r="E39" s="29" t="n"/>
      <c r="F39" s="29" t="n"/>
      <c r="G39" s="29" t="n"/>
      <c r="H39" s="30" t="n"/>
      <c r="I39" s="30" t="n"/>
      <c r="J39" s="30" t="n"/>
      <c r="K39" s="15" t="n"/>
      <c r="L39" s="30" t="n"/>
      <c r="M39" s="31" t="n"/>
      <c r="N39" s="16">
        <f>IF(B39="","",IF(MONTH(B39)&gt;=9,"1T",IF(MONTH(B39)&lt;=3,"2T","3T")))</f>
        <v/>
      </c>
      <c r="O39" s="13">
        <f>IF(OR(B39="",H39="",J39=""),"",IFERROR(J39/H39,""))</f>
        <v/>
      </c>
      <c r="P39" s="14">
        <f>IF(OR(B39="",K39=""),"",IFERROR(K39/IF(J39="",I39,J39),""))</f>
        <v/>
      </c>
      <c r="Q39" s="12">
        <f>IF(OR(M39&lt;&gt;"Prevista",H39="",I39=""),"",MAX(H39-I39,0))</f>
        <v/>
      </c>
      <c r="R39" s="21">
        <f>IF(B39="","",IF(AND(M39="Prevista",N(Q39)&gt;0),"Faltan autorizaciones",IF(AND(M39="Realizada",N(J39)&gt;N(I39)),"Participan más que autorizados",IF(AND(M39="Realizada",J39=""),"Falta nº de participantes",""))))</f>
        <v/>
      </c>
      <c r="S39" s="23">
        <f>IF(OR(M39&lt;&gt;"Realizada",L39=""),"",L39+(1000-ROW())/100000)</f>
        <v/>
      </c>
    </row>
    <row r="40">
      <c r="B40" s="28" t="n"/>
      <c r="C40" s="29" t="n"/>
      <c r="D40" s="29" t="n"/>
      <c r="E40" s="29" t="n"/>
      <c r="F40" s="29" t="n"/>
      <c r="G40" s="29" t="n"/>
      <c r="H40" s="30" t="n"/>
      <c r="I40" s="30" t="n"/>
      <c r="J40" s="30" t="n"/>
      <c r="K40" s="15" t="n"/>
      <c r="L40" s="30" t="n"/>
      <c r="M40" s="31" t="n"/>
      <c r="N40" s="16">
        <f>IF(B40="","",IF(MONTH(B40)&gt;=9,"1T",IF(MONTH(B40)&lt;=3,"2T","3T")))</f>
        <v/>
      </c>
      <c r="O40" s="13">
        <f>IF(OR(B40="",H40="",J40=""),"",IFERROR(J40/H40,""))</f>
        <v/>
      </c>
      <c r="P40" s="14">
        <f>IF(OR(B40="",K40=""),"",IFERROR(K40/IF(J40="",I40,J40),""))</f>
        <v/>
      </c>
      <c r="Q40" s="12">
        <f>IF(OR(M40&lt;&gt;"Prevista",H40="",I40=""),"",MAX(H40-I40,0))</f>
        <v/>
      </c>
      <c r="R40" s="21">
        <f>IF(B40="","",IF(AND(M40="Prevista",N(Q40)&gt;0),"Faltan autorizaciones",IF(AND(M40="Realizada",N(J40)&gt;N(I40)),"Participan más que autorizados",IF(AND(M40="Realizada",J40=""),"Falta nº de participantes",""))))</f>
        <v/>
      </c>
      <c r="S40" s="23">
        <f>IF(OR(M40&lt;&gt;"Realizada",L40=""),"",L40+(1000-ROW())/100000)</f>
        <v/>
      </c>
    </row>
    <row r="41">
      <c r="B41" s="28" t="n"/>
      <c r="C41" s="29" t="n"/>
      <c r="D41" s="29" t="n"/>
      <c r="E41" s="29" t="n"/>
      <c r="F41" s="29" t="n"/>
      <c r="G41" s="29" t="n"/>
      <c r="H41" s="30" t="n"/>
      <c r="I41" s="30" t="n"/>
      <c r="J41" s="30" t="n"/>
      <c r="K41" s="15" t="n"/>
      <c r="L41" s="30" t="n"/>
      <c r="M41" s="31" t="n"/>
      <c r="N41" s="16">
        <f>IF(B41="","",IF(MONTH(B41)&gt;=9,"1T",IF(MONTH(B41)&lt;=3,"2T","3T")))</f>
        <v/>
      </c>
      <c r="O41" s="13">
        <f>IF(OR(B41="",H41="",J41=""),"",IFERROR(J41/H41,""))</f>
        <v/>
      </c>
      <c r="P41" s="14">
        <f>IF(OR(B41="",K41=""),"",IFERROR(K41/IF(J41="",I41,J41),""))</f>
        <v/>
      </c>
      <c r="Q41" s="12">
        <f>IF(OR(M41&lt;&gt;"Prevista",H41="",I41=""),"",MAX(H41-I41,0))</f>
        <v/>
      </c>
      <c r="R41" s="21">
        <f>IF(B41="","",IF(AND(M41="Prevista",N(Q41)&gt;0),"Faltan autorizaciones",IF(AND(M41="Realizada",N(J41)&gt;N(I41)),"Participan más que autorizados",IF(AND(M41="Realizada",J41=""),"Falta nº de participantes",""))))</f>
        <v/>
      </c>
      <c r="S41" s="23">
        <f>IF(OR(M41&lt;&gt;"Realizada",L41=""),"",L41+(1000-ROW())/100000)</f>
        <v/>
      </c>
    </row>
    <row r="42">
      <c r="B42" s="28" t="n"/>
      <c r="C42" s="29" t="n"/>
      <c r="D42" s="29" t="n"/>
      <c r="E42" s="29" t="n"/>
      <c r="F42" s="29" t="n"/>
      <c r="G42" s="29" t="n"/>
      <c r="H42" s="30" t="n"/>
      <c r="I42" s="30" t="n"/>
      <c r="J42" s="30" t="n"/>
      <c r="K42" s="15" t="n"/>
      <c r="L42" s="30" t="n"/>
      <c r="M42" s="31" t="n"/>
      <c r="N42" s="16">
        <f>IF(B42="","",IF(MONTH(B42)&gt;=9,"1T",IF(MONTH(B42)&lt;=3,"2T","3T")))</f>
        <v/>
      </c>
      <c r="O42" s="13">
        <f>IF(OR(B42="",H42="",J42=""),"",IFERROR(J42/H42,""))</f>
        <v/>
      </c>
      <c r="P42" s="14">
        <f>IF(OR(B42="",K42=""),"",IFERROR(K42/IF(J42="",I42,J42),""))</f>
        <v/>
      </c>
      <c r="Q42" s="12">
        <f>IF(OR(M42&lt;&gt;"Prevista",H42="",I42=""),"",MAX(H42-I42,0))</f>
        <v/>
      </c>
      <c r="R42" s="21">
        <f>IF(B42="","",IF(AND(M42="Prevista",N(Q42)&gt;0),"Faltan autorizaciones",IF(AND(M42="Realizada",N(J42)&gt;N(I42)),"Participan más que autorizados",IF(AND(M42="Realizada",J42=""),"Falta nº de participantes",""))))</f>
        <v/>
      </c>
      <c r="S42" s="23">
        <f>IF(OR(M42&lt;&gt;"Realizada",L42=""),"",L42+(1000-ROW())/100000)</f>
        <v/>
      </c>
    </row>
    <row r="43">
      <c r="B43" s="28" t="n"/>
      <c r="C43" s="29" t="n"/>
      <c r="D43" s="29" t="n"/>
      <c r="E43" s="29" t="n"/>
      <c r="F43" s="29" t="n"/>
      <c r="G43" s="29" t="n"/>
      <c r="H43" s="30" t="n"/>
      <c r="I43" s="30" t="n"/>
      <c r="J43" s="30" t="n"/>
      <c r="K43" s="15" t="n"/>
      <c r="L43" s="30" t="n"/>
      <c r="M43" s="31" t="n"/>
      <c r="N43" s="16">
        <f>IF(B43="","",IF(MONTH(B43)&gt;=9,"1T",IF(MONTH(B43)&lt;=3,"2T","3T")))</f>
        <v/>
      </c>
      <c r="O43" s="13">
        <f>IF(OR(B43="",H43="",J43=""),"",IFERROR(J43/H43,""))</f>
        <v/>
      </c>
      <c r="P43" s="14">
        <f>IF(OR(B43="",K43=""),"",IFERROR(K43/IF(J43="",I43,J43),""))</f>
        <v/>
      </c>
      <c r="Q43" s="12">
        <f>IF(OR(M43&lt;&gt;"Prevista",H43="",I43=""),"",MAX(H43-I43,0))</f>
        <v/>
      </c>
      <c r="R43" s="21">
        <f>IF(B43="","",IF(AND(M43="Prevista",N(Q43)&gt;0),"Faltan autorizaciones",IF(AND(M43="Realizada",N(J43)&gt;N(I43)),"Participan más que autorizados",IF(AND(M43="Realizada",J43=""),"Falta nº de participantes",""))))</f>
        <v/>
      </c>
      <c r="S43" s="23">
        <f>IF(OR(M43&lt;&gt;"Realizada",L43=""),"",L43+(1000-ROW())/100000)</f>
        <v/>
      </c>
    </row>
    <row r="44">
      <c r="B44" s="28" t="n"/>
      <c r="C44" s="29" t="n"/>
      <c r="D44" s="29" t="n"/>
      <c r="E44" s="29" t="n"/>
      <c r="F44" s="29" t="n"/>
      <c r="G44" s="29" t="n"/>
      <c r="H44" s="30" t="n"/>
      <c r="I44" s="30" t="n"/>
      <c r="J44" s="30" t="n"/>
      <c r="K44" s="15" t="n"/>
      <c r="L44" s="30" t="n"/>
      <c r="M44" s="31" t="n"/>
      <c r="N44" s="16">
        <f>IF(B44="","",IF(MONTH(B44)&gt;=9,"1T",IF(MONTH(B44)&lt;=3,"2T","3T")))</f>
        <v/>
      </c>
      <c r="O44" s="13">
        <f>IF(OR(B44="",H44="",J44=""),"",IFERROR(J44/H44,""))</f>
        <v/>
      </c>
      <c r="P44" s="14">
        <f>IF(OR(B44="",K44=""),"",IFERROR(K44/IF(J44="",I44,J44),""))</f>
        <v/>
      </c>
      <c r="Q44" s="12">
        <f>IF(OR(M44&lt;&gt;"Prevista",H44="",I44=""),"",MAX(H44-I44,0))</f>
        <v/>
      </c>
      <c r="R44" s="21">
        <f>IF(B44="","",IF(AND(M44="Prevista",N(Q44)&gt;0),"Faltan autorizaciones",IF(AND(M44="Realizada",N(J44)&gt;N(I44)),"Participan más que autorizados",IF(AND(M44="Realizada",J44=""),"Falta nº de participantes",""))))</f>
        <v/>
      </c>
      <c r="S44" s="23">
        <f>IF(OR(M44&lt;&gt;"Realizada",L44=""),"",L44+(1000-ROW())/100000)</f>
        <v/>
      </c>
    </row>
    <row r="45">
      <c r="B45" s="28" t="n"/>
      <c r="C45" s="29" t="n"/>
      <c r="D45" s="29" t="n"/>
      <c r="E45" s="29" t="n"/>
      <c r="F45" s="29" t="n"/>
      <c r="G45" s="29" t="n"/>
      <c r="H45" s="30" t="n"/>
      <c r="I45" s="30" t="n"/>
      <c r="J45" s="30" t="n"/>
      <c r="K45" s="15" t="n"/>
      <c r="L45" s="30" t="n"/>
      <c r="M45" s="31" t="n"/>
      <c r="N45" s="16">
        <f>IF(B45="","",IF(MONTH(B45)&gt;=9,"1T",IF(MONTH(B45)&lt;=3,"2T","3T")))</f>
        <v/>
      </c>
      <c r="O45" s="13">
        <f>IF(OR(B45="",H45="",J45=""),"",IFERROR(J45/H45,""))</f>
        <v/>
      </c>
      <c r="P45" s="14">
        <f>IF(OR(B45="",K45=""),"",IFERROR(K45/IF(J45="",I45,J45),""))</f>
        <v/>
      </c>
      <c r="Q45" s="12">
        <f>IF(OR(M45&lt;&gt;"Prevista",H45="",I45=""),"",MAX(H45-I45,0))</f>
        <v/>
      </c>
      <c r="R45" s="21">
        <f>IF(B45="","",IF(AND(M45="Prevista",N(Q45)&gt;0),"Faltan autorizaciones",IF(AND(M45="Realizada",N(J45)&gt;N(I45)),"Participan más que autorizados",IF(AND(M45="Realizada",J45=""),"Falta nº de participantes",""))))</f>
        <v/>
      </c>
      <c r="S45" s="23">
        <f>IF(OR(M45&lt;&gt;"Realizada",L45=""),"",L45+(1000-ROW())/100000)</f>
        <v/>
      </c>
    </row>
    <row r="46">
      <c r="B46" s="28" t="n"/>
      <c r="C46" s="29" t="n"/>
      <c r="D46" s="29" t="n"/>
      <c r="E46" s="29" t="n"/>
      <c r="F46" s="29" t="n"/>
      <c r="G46" s="29" t="n"/>
      <c r="H46" s="30" t="n"/>
      <c r="I46" s="30" t="n"/>
      <c r="J46" s="30" t="n"/>
      <c r="K46" s="15" t="n"/>
      <c r="L46" s="30" t="n"/>
      <c r="M46" s="31" t="n"/>
      <c r="N46" s="16">
        <f>IF(B46="","",IF(MONTH(B46)&gt;=9,"1T",IF(MONTH(B46)&lt;=3,"2T","3T")))</f>
        <v/>
      </c>
      <c r="O46" s="13">
        <f>IF(OR(B46="",H46="",J46=""),"",IFERROR(J46/H46,""))</f>
        <v/>
      </c>
      <c r="P46" s="14">
        <f>IF(OR(B46="",K46=""),"",IFERROR(K46/IF(J46="",I46,J46),""))</f>
        <v/>
      </c>
      <c r="Q46" s="12">
        <f>IF(OR(M46&lt;&gt;"Prevista",H46="",I46=""),"",MAX(H46-I46,0))</f>
        <v/>
      </c>
      <c r="R46" s="21">
        <f>IF(B46="","",IF(AND(M46="Prevista",N(Q46)&gt;0),"Faltan autorizaciones",IF(AND(M46="Realizada",N(J46)&gt;N(I46)),"Participan más que autorizados",IF(AND(M46="Realizada",J46=""),"Falta nº de participantes",""))))</f>
        <v/>
      </c>
      <c r="S46" s="23">
        <f>IF(OR(M46&lt;&gt;"Realizada",L46=""),"",L46+(1000-ROW())/100000)</f>
        <v/>
      </c>
    </row>
    <row r="47">
      <c r="B47" s="28" t="n"/>
      <c r="C47" s="29" t="n"/>
      <c r="D47" s="29" t="n"/>
      <c r="E47" s="29" t="n"/>
      <c r="F47" s="29" t="n"/>
      <c r="G47" s="29" t="n"/>
      <c r="H47" s="30" t="n"/>
      <c r="I47" s="30" t="n"/>
      <c r="J47" s="30" t="n"/>
      <c r="K47" s="15" t="n"/>
      <c r="L47" s="30" t="n"/>
      <c r="M47" s="31" t="n"/>
      <c r="N47" s="16">
        <f>IF(B47="","",IF(MONTH(B47)&gt;=9,"1T",IF(MONTH(B47)&lt;=3,"2T","3T")))</f>
        <v/>
      </c>
      <c r="O47" s="13">
        <f>IF(OR(B47="",H47="",J47=""),"",IFERROR(J47/H47,""))</f>
        <v/>
      </c>
      <c r="P47" s="14">
        <f>IF(OR(B47="",K47=""),"",IFERROR(K47/IF(J47="",I47,J47),""))</f>
        <v/>
      </c>
      <c r="Q47" s="12">
        <f>IF(OR(M47&lt;&gt;"Prevista",H47="",I47=""),"",MAX(H47-I47,0))</f>
        <v/>
      </c>
      <c r="R47" s="21">
        <f>IF(B47="","",IF(AND(M47="Prevista",N(Q47)&gt;0),"Faltan autorizaciones",IF(AND(M47="Realizada",N(J47)&gt;N(I47)),"Participan más que autorizados",IF(AND(M47="Realizada",J47=""),"Falta nº de participantes",""))))</f>
        <v/>
      </c>
      <c r="S47" s="23">
        <f>IF(OR(M47&lt;&gt;"Realizada",L47=""),"",L47+(1000-ROW())/100000)</f>
        <v/>
      </c>
    </row>
    <row r="48">
      <c r="B48" s="17" t="inlineStr">
        <is>
          <t>Totales</t>
        </is>
      </c>
      <c r="C48" s="17" t="inlineStr"/>
      <c r="D48" s="17" t="inlineStr"/>
      <c r="E48" s="17" t="inlineStr"/>
      <c r="F48" s="17" t="inlineStr"/>
      <c r="G48" s="17" t="inlineStr"/>
      <c r="H48" s="18">
        <f>SUM(H8:H47)</f>
        <v/>
      </c>
      <c r="I48" s="18">
        <f>SUM(I8:I47)</f>
        <v/>
      </c>
      <c r="J48" s="18">
        <f>SUM(J8:J47)</f>
        <v/>
      </c>
      <c r="K48" s="20">
        <f>SUM(K8:K47)-SUMIF(M8:M47,"Cancelada",K8:K47)</f>
        <v/>
      </c>
      <c r="L48" s="32">
        <f>IFERROR(AVERAGEIF(M8:M47,"Realizada",L8:L47),"")</f>
        <v/>
      </c>
      <c r="M48" s="17" t="inlineStr"/>
      <c r="N48" s="17" t="inlineStr"/>
      <c r="O48" s="17" t="inlineStr"/>
      <c r="P48" s="17" t="inlineStr"/>
      <c r="Q48" s="17" t="inlineStr"/>
      <c r="R48" s="17" t="inlineStr"/>
    </row>
    <row r="49">
      <c r="B49" s="26" t="inlineStr">
        <is>
          <t>El total de coste no incluye las actividades canceladas. Las filas hasta la 47 ya tienen fórmulas: solo rellena las celdas crema.</t>
        </is>
      </c>
    </row>
  </sheetData>
  <sheetProtection selectLockedCells="0" selectUnlockedCells="0" sheet="1" objects="0" insertRows="0" insertHyperlinks="1" autoFilter="0" scenarios="0" formatColumns="0" deleteColumns="1" insertColumns="1" pivotTables="1" deleteRows="0" formatCells="0" formatRows="0" sort="0"/>
  <mergeCells count="2">
    <mergeCell ref="B2:R2"/>
    <mergeCell ref="B3:R3"/>
  </mergeCells>
  <conditionalFormatting sqref="M8:M47">
    <cfRule type="cellIs" priority="1" operator="equal" dxfId="1">
      <formula>"Realizada"</formula>
    </cfRule>
    <cfRule type="cellIs" priority="2" operator="equal" dxfId="2">
      <formula>"Prevista"</formula>
    </cfRule>
    <cfRule type="cellIs" priority="3" operator="equal" dxfId="0">
      <formula>"Cancelada"</formula>
    </cfRule>
  </conditionalFormatting>
  <conditionalFormatting sqref="R8:R47">
    <cfRule type="expression" priority="4" dxfId="2">
      <formula>R8&lt;&gt;""</formula>
    </cfRule>
  </conditionalFormatting>
  <conditionalFormatting sqref="Q8:Q47">
    <cfRule type="expression" priority="5" dxfId="0">
      <formula>N(Q8)&gt;0</formula>
    </cfRule>
  </conditionalFormatting>
  <conditionalFormatting sqref="K8:K47">
    <cfRule type="dataBar" priority="6">
      <dataBar>
        <cfvo type="num" val="0"/>
        <cfvo type="max"/>
        <color rgb="0010B981"/>
      </dataBar>
    </cfRule>
  </conditionalFormatting>
  <conditionalFormatting sqref="O8:O47">
    <cfRule type="dataBar" priority="7">
      <dataBar>
        <cfvo type="num" val="0"/>
        <cfvo type="max"/>
        <color rgb="0034D399"/>
      </dataBar>
    </cfRule>
  </conditionalFormatting>
  <dataValidations count="4">
    <dataValidation sqref="D8:D47" showDropDown="0" showInputMessage="0" showErrorMessage="0" allowBlank="1" type="list">
      <formula1>=Listas!$A$2:$A$3</formula1>
    </dataValidation>
    <dataValidation sqref="E8:E47" showDropDown="0" showInputMessage="0" showErrorMessage="0" allowBlank="1" type="list">
      <formula1>=Grupos!$B$8:$B$17</formula1>
    </dataValidation>
    <dataValidation sqref="M8:M47" showDropDown="0" showInputMessage="0" showErrorMessage="0" allowBlank="1" type="list">
      <formula1>=Listas!$B$2:$B$4</formula1>
    </dataValidation>
    <dataValidation sqref="L8:L47" showDropDown="0" showInputMessage="0" showErrorMessage="0" allowBlank="1" type="list">
      <formula1>"1,2,3,4,5"</formula1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tabColor rgb="0010B981"/>
    <outlinePr summaryBelow="1" summaryRight="1"/>
    <pageSetUpPr fitToPage="1"/>
  </sheetPr>
  <dimension ref="B2:L20"/>
  <sheetViews>
    <sheetView showGridLines="0" workbookViewId="0">
      <pane xSplit="2" ySplit="7" topLeftCell="C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" customWidth="1" min="1" max="1"/>
    <col width="20" customWidth="1" min="2" max="2"/>
    <col width="18" customWidth="1" min="3" max="3"/>
    <col width="10" customWidth="1" min="4" max="4"/>
    <col width="12" customWidth="1" min="5" max="5"/>
    <col width="12" customWidth="1" min="6" max="6"/>
    <col width="14" customWidth="1" min="7" max="7"/>
    <col width="14" customWidth="1" min="8" max="8"/>
    <col width="12" customWidth="1" min="9" max="9"/>
    <col width="14" customWidth="1" min="10" max="10"/>
    <col width="12" customWidth="1" min="11" max="11"/>
    <col width="20" customWidth="1" min="12" max="12"/>
  </cols>
  <sheetData>
    <row r="2" ht="34" customHeight="1">
      <c r="B2" s="1" t="inlineStr">
        <is>
          <t>Grupos y tutores</t>
        </is>
      </c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</row>
    <row r="3">
      <c r="B3" s="3" t="inlineStr">
        <is>
          <t>Lista tus grupos (hasta 10). La hoja calcula sola actividades, participación y coste por grupo.</t>
        </is>
      </c>
    </row>
    <row r="5">
      <c r="B5" s="24" t="inlineStr">
        <is>
          <t>Participación mínima deseada:</t>
        </is>
      </c>
      <c r="E5" s="33" t="n">
        <v>0.85</v>
      </c>
      <c r="F5" s="26" t="inlineStr">
        <is>
          <t>(parámetro editable: por debajo se avisa de «Baja participación»)</t>
        </is>
      </c>
    </row>
    <row r="7" ht="32" customHeight="1">
      <c r="B7" s="10" t="inlineStr">
        <is>
          <t>Grupo</t>
        </is>
      </c>
      <c r="C7" s="10" t="inlineStr">
        <is>
          <t>Tutor/a</t>
        </is>
      </c>
      <c r="D7" s="10" t="inlineStr">
        <is>
          <t>Nº alumnos</t>
        </is>
      </c>
      <c r="E7" s="10" t="inlineStr">
        <is>
          <t>Actividades</t>
        </is>
      </c>
      <c r="F7" s="10" t="inlineStr">
        <is>
          <t>Realizadas</t>
        </is>
      </c>
      <c r="G7" s="10" t="inlineStr">
        <is>
          <t>Participaciones</t>
        </is>
      </c>
      <c r="H7" s="10" t="inlineStr">
        <is>
          <t>% participación</t>
        </is>
      </c>
      <c r="I7" s="10" t="inlineStr">
        <is>
          <t>Coste total</t>
        </is>
      </c>
      <c r="J7" s="10" t="inlineStr">
        <is>
          <t>Coste por alumno</t>
        </is>
      </c>
      <c r="K7" s="10" t="inlineStr">
        <is>
          <t>Valoración media</t>
        </is>
      </c>
      <c r="L7" s="10" t="inlineStr">
        <is>
          <t>Aviso</t>
        </is>
      </c>
    </row>
    <row r="8">
      <c r="B8" s="29" t="inlineStr">
        <is>
          <t>1º ESO A</t>
        </is>
      </c>
      <c r="C8" s="29" t="inlineStr">
        <is>
          <t>Marta Gil</t>
        </is>
      </c>
      <c r="D8" s="30" t="n">
        <v>26</v>
      </c>
      <c r="E8" s="12">
        <f>IF(B8="","",COUNTIFS(Actividades!$E$8:$E$47,B8,Actividades!$M$8:$M$47,"&lt;&gt;Cancelada"))</f>
        <v/>
      </c>
      <c r="F8" s="12">
        <f>IF(B8="","",COUNTIFS(Actividades!$E$8:$E$47,B8,Actividades!$M$8:$M$47,"Realizada"))</f>
        <v/>
      </c>
      <c r="G8" s="12">
        <f>IF(B8="","",SUMIFS(Actividades!$J$8:$J$47,Actividades!$E$8:$E$47,B8,Actividades!$M$8:$M$47,"Realizada"))</f>
        <v/>
      </c>
      <c r="H8" s="13">
        <f>IF(B8="","",IFERROR(G8/SUMIFS(Actividades!$H$8:$H$47,Actividades!$E$8:$E$47,B8,Actividades!$M$8:$M$47,"Realizada"),""))</f>
        <v/>
      </c>
      <c r="I8" s="14">
        <f>IF(B8="","",SUMIFS(Actividades!$K$8:$K$47,Actividades!$E$8:$E$47,B8)-SUMIFS(Actividades!$K$8:$K$47,Actividades!$E$8:$E$47,B8,Actividades!$M$8:$M$47,"Cancelada"))</f>
        <v/>
      </c>
      <c r="J8" s="14">
        <f>IF(B8="","",IFERROR(I8/D8,""))</f>
        <v/>
      </c>
      <c r="K8" s="34">
        <f>IF(B8="","",IFERROR(AVERAGEIFS(Actividades!$L$8:$L$47,Actividades!$E$8:$E$47,B8,Actividades!$M$8:$M$47,"Realizada"),""))</f>
        <v/>
      </c>
      <c r="L8" s="16">
        <f>IF(OR(B8="",H8=""),"",IF(H8&lt;$E$5,"Baja participación","Correcta"))</f>
        <v/>
      </c>
    </row>
    <row r="9">
      <c r="B9" s="29" t="inlineStr">
        <is>
          <t>1º ESO B</t>
        </is>
      </c>
      <c r="C9" s="29" t="inlineStr">
        <is>
          <t>Raúl Cano</t>
        </is>
      </c>
      <c r="D9" s="30" t="n">
        <v>27</v>
      </c>
      <c r="E9" s="12">
        <f>IF(B9="","",COUNTIFS(Actividades!$E$8:$E$47,B9,Actividades!$M$8:$M$47,"&lt;&gt;Cancelada"))</f>
        <v/>
      </c>
      <c r="F9" s="12">
        <f>IF(B9="","",COUNTIFS(Actividades!$E$8:$E$47,B9,Actividades!$M$8:$M$47,"Realizada"))</f>
        <v/>
      </c>
      <c r="G9" s="12">
        <f>IF(B9="","",SUMIFS(Actividades!$J$8:$J$47,Actividades!$E$8:$E$47,B9,Actividades!$M$8:$M$47,"Realizada"))</f>
        <v/>
      </c>
      <c r="H9" s="13">
        <f>IF(B9="","",IFERROR(G9/SUMIFS(Actividades!$H$8:$H$47,Actividades!$E$8:$E$47,B9,Actividades!$M$8:$M$47,"Realizada"),""))</f>
        <v/>
      </c>
      <c r="I9" s="14">
        <f>IF(B9="","",SUMIFS(Actividades!$K$8:$K$47,Actividades!$E$8:$E$47,B9)-SUMIFS(Actividades!$K$8:$K$47,Actividades!$E$8:$E$47,B9,Actividades!$M$8:$M$47,"Cancelada"))</f>
        <v/>
      </c>
      <c r="J9" s="14">
        <f>IF(B9="","",IFERROR(I9/D9,""))</f>
        <v/>
      </c>
      <c r="K9" s="34">
        <f>IF(B9="","",IFERROR(AVERAGEIFS(Actividades!$L$8:$L$47,Actividades!$E$8:$E$47,B9,Actividades!$M$8:$M$47,"Realizada"),""))</f>
        <v/>
      </c>
      <c r="L9" s="16">
        <f>IF(OR(B9="",H9=""),"",IF(H9&lt;$E$5,"Baja participación","Correcta"))</f>
        <v/>
      </c>
    </row>
    <row r="10">
      <c r="B10" s="29" t="inlineStr">
        <is>
          <t>2º ESO A</t>
        </is>
      </c>
      <c r="C10" s="29" t="inlineStr">
        <is>
          <t>Luis Ramos</t>
        </is>
      </c>
      <c r="D10" s="30" t="n">
        <v>24</v>
      </c>
      <c r="E10" s="12">
        <f>IF(B10="","",COUNTIFS(Actividades!$E$8:$E$47,B10,Actividades!$M$8:$M$47,"&lt;&gt;Cancelada"))</f>
        <v/>
      </c>
      <c r="F10" s="12">
        <f>IF(B10="","",COUNTIFS(Actividades!$E$8:$E$47,B10,Actividades!$M$8:$M$47,"Realizada"))</f>
        <v/>
      </c>
      <c r="G10" s="12">
        <f>IF(B10="","",SUMIFS(Actividades!$J$8:$J$47,Actividades!$E$8:$E$47,B10,Actividades!$M$8:$M$47,"Realizada"))</f>
        <v/>
      </c>
      <c r="H10" s="13">
        <f>IF(B10="","",IFERROR(G10/SUMIFS(Actividades!$H$8:$H$47,Actividades!$E$8:$E$47,B10,Actividades!$M$8:$M$47,"Realizada"),""))</f>
        <v/>
      </c>
      <c r="I10" s="14">
        <f>IF(B10="","",SUMIFS(Actividades!$K$8:$K$47,Actividades!$E$8:$E$47,B10)-SUMIFS(Actividades!$K$8:$K$47,Actividades!$E$8:$E$47,B10,Actividades!$M$8:$M$47,"Cancelada"))</f>
        <v/>
      </c>
      <c r="J10" s="14">
        <f>IF(B10="","",IFERROR(I10/D10,""))</f>
        <v/>
      </c>
      <c r="K10" s="34">
        <f>IF(B10="","",IFERROR(AVERAGEIFS(Actividades!$L$8:$L$47,Actividades!$E$8:$E$47,B10,Actividades!$M$8:$M$47,"Realizada"),""))</f>
        <v/>
      </c>
      <c r="L10" s="16">
        <f>IF(OR(B10="",H10=""),"",IF(H10&lt;$E$5,"Baja participación","Correcta"))</f>
        <v/>
      </c>
    </row>
    <row r="11">
      <c r="B11" s="29" t="inlineStr">
        <is>
          <t>2º ESO B</t>
        </is>
      </c>
      <c r="C11" s="29" t="inlineStr">
        <is>
          <t>Carmen Pastor</t>
        </is>
      </c>
      <c r="D11" s="30" t="n">
        <v>25</v>
      </c>
      <c r="E11" s="12">
        <f>IF(B11="","",COUNTIFS(Actividades!$E$8:$E$47,B11,Actividades!$M$8:$M$47,"&lt;&gt;Cancelada"))</f>
        <v/>
      </c>
      <c r="F11" s="12">
        <f>IF(B11="","",COUNTIFS(Actividades!$E$8:$E$47,B11,Actividades!$M$8:$M$47,"Realizada"))</f>
        <v/>
      </c>
      <c r="G11" s="12">
        <f>IF(B11="","",SUMIFS(Actividades!$J$8:$J$47,Actividades!$E$8:$E$47,B11,Actividades!$M$8:$M$47,"Realizada"))</f>
        <v/>
      </c>
      <c r="H11" s="13">
        <f>IF(B11="","",IFERROR(G11/SUMIFS(Actividades!$H$8:$H$47,Actividades!$E$8:$E$47,B11,Actividades!$M$8:$M$47,"Realizada"),""))</f>
        <v/>
      </c>
      <c r="I11" s="14">
        <f>IF(B11="","",SUMIFS(Actividades!$K$8:$K$47,Actividades!$E$8:$E$47,B11)-SUMIFS(Actividades!$K$8:$K$47,Actividades!$E$8:$E$47,B11,Actividades!$M$8:$M$47,"Cancelada"))</f>
        <v/>
      </c>
      <c r="J11" s="14">
        <f>IF(B11="","",IFERROR(I11/D11,""))</f>
        <v/>
      </c>
      <c r="K11" s="34">
        <f>IF(B11="","",IFERROR(AVERAGEIFS(Actividades!$L$8:$L$47,Actividades!$E$8:$E$47,B11,Actividades!$M$8:$M$47,"Realizada"),""))</f>
        <v/>
      </c>
      <c r="L11" s="16">
        <f>IF(OR(B11="",H11=""),"",IF(H11&lt;$E$5,"Baja participación","Correcta"))</f>
        <v/>
      </c>
    </row>
    <row r="12">
      <c r="B12" s="29" t="inlineStr">
        <is>
          <t>3º ESO A</t>
        </is>
      </c>
      <c r="C12" s="29" t="inlineStr">
        <is>
          <t>Elena Soto</t>
        </is>
      </c>
      <c r="D12" s="30" t="n">
        <v>28</v>
      </c>
      <c r="E12" s="12">
        <f>IF(B12="","",COUNTIFS(Actividades!$E$8:$E$47,B12,Actividades!$M$8:$M$47,"&lt;&gt;Cancelada"))</f>
        <v/>
      </c>
      <c r="F12" s="12">
        <f>IF(B12="","",COUNTIFS(Actividades!$E$8:$E$47,B12,Actividades!$M$8:$M$47,"Realizada"))</f>
        <v/>
      </c>
      <c r="G12" s="12">
        <f>IF(B12="","",SUMIFS(Actividades!$J$8:$J$47,Actividades!$E$8:$E$47,B12,Actividades!$M$8:$M$47,"Realizada"))</f>
        <v/>
      </c>
      <c r="H12" s="13">
        <f>IF(B12="","",IFERROR(G12/SUMIFS(Actividades!$H$8:$H$47,Actividades!$E$8:$E$47,B12,Actividades!$M$8:$M$47,"Realizada"),""))</f>
        <v/>
      </c>
      <c r="I12" s="14">
        <f>IF(B12="","",SUMIFS(Actividades!$K$8:$K$47,Actividades!$E$8:$E$47,B12)-SUMIFS(Actividades!$K$8:$K$47,Actividades!$E$8:$E$47,B12,Actividades!$M$8:$M$47,"Cancelada"))</f>
        <v/>
      </c>
      <c r="J12" s="14">
        <f>IF(B12="","",IFERROR(I12/D12,""))</f>
        <v/>
      </c>
      <c r="K12" s="34">
        <f>IF(B12="","",IFERROR(AVERAGEIFS(Actividades!$L$8:$L$47,Actividades!$E$8:$E$47,B12,Actividades!$M$8:$M$47,"Realizada"),""))</f>
        <v/>
      </c>
      <c r="L12" s="16">
        <f>IF(OR(B12="",H12=""),"",IF(H12&lt;$E$5,"Baja participación","Correcta"))</f>
        <v/>
      </c>
    </row>
    <row r="13">
      <c r="B13" s="29" t="inlineStr">
        <is>
          <t>4º ESO A</t>
        </is>
      </c>
      <c r="C13" s="29" t="inlineStr">
        <is>
          <t>Pablo Núñez</t>
        </is>
      </c>
      <c r="D13" s="30" t="n">
        <v>22</v>
      </c>
      <c r="E13" s="12">
        <f>IF(B13="","",COUNTIFS(Actividades!$E$8:$E$47,B13,Actividades!$M$8:$M$47,"&lt;&gt;Cancelada"))</f>
        <v/>
      </c>
      <c r="F13" s="12">
        <f>IF(B13="","",COUNTIFS(Actividades!$E$8:$E$47,B13,Actividades!$M$8:$M$47,"Realizada"))</f>
        <v/>
      </c>
      <c r="G13" s="12">
        <f>IF(B13="","",SUMIFS(Actividades!$J$8:$J$47,Actividades!$E$8:$E$47,B13,Actividades!$M$8:$M$47,"Realizada"))</f>
        <v/>
      </c>
      <c r="H13" s="13">
        <f>IF(B13="","",IFERROR(G13/SUMIFS(Actividades!$H$8:$H$47,Actividades!$E$8:$E$47,B13,Actividades!$M$8:$M$47,"Realizada"),""))</f>
        <v/>
      </c>
      <c r="I13" s="14">
        <f>IF(B13="","",SUMIFS(Actividades!$K$8:$K$47,Actividades!$E$8:$E$47,B13)-SUMIFS(Actividades!$K$8:$K$47,Actividades!$E$8:$E$47,B13,Actividades!$M$8:$M$47,"Cancelada"))</f>
        <v/>
      </c>
      <c r="J13" s="14">
        <f>IF(B13="","",IFERROR(I13/D13,""))</f>
        <v/>
      </c>
      <c r="K13" s="34">
        <f>IF(B13="","",IFERROR(AVERAGEIFS(Actividades!$L$8:$L$47,Actividades!$E$8:$E$47,B13,Actividades!$M$8:$M$47,"Realizada"),""))</f>
        <v/>
      </c>
      <c r="L13" s="16">
        <f>IF(OR(B13="",H13=""),"",IF(H13&lt;$E$5,"Baja participación","Correcta"))</f>
        <v/>
      </c>
    </row>
    <row r="14">
      <c r="B14" s="29" t="inlineStr">
        <is>
          <t>Club de ajedrez</t>
        </is>
      </c>
      <c r="C14" s="29" t="inlineStr">
        <is>
          <t>Iván Mora</t>
        </is>
      </c>
      <c r="D14" s="30" t="n">
        <v>12</v>
      </c>
      <c r="E14" s="12">
        <f>IF(B14="","",COUNTIFS(Actividades!$E$8:$E$47,B14,Actividades!$M$8:$M$47,"&lt;&gt;Cancelada"))</f>
        <v/>
      </c>
      <c r="F14" s="12">
        <f>IF(B14="","",COUNTIFS(Actividades!$E$8:$E$47,B14,Actividades!$M$8:$M$47,"Realizada"))</f>
        <v/>
      </c>
      <c r="G14" s="12">
        <f>IF(B14="","",SUMIFS(Actividades!$J$8:$J$47,Actividades!$E$8:$E$47,B14,Actividades!$M$8:$M$47,"Realizada"))</f>
        <v/>
      </c>
      <c r="H14" s="13">
        <f>IF(B14="","",IFERROR(G14/SUMIFS(Actividades!$H$8:$H$47,Actividades!$E$8:$E$47,B14,Actividades!$M$8:$M$47,"Realizada"),""))</f>
        <v/>
      </c>
      <c r="I14" s="14">
        <f>IF(B14="","",SUMIFS(Actividades!$K$8:$K$47,Actividades!$E$8:$E$47,B14)-SUMIFS(Actividades!$K$8:$K$47,Actividades!$E$8:$E$47,B14,Actividades!$M$8:$M$47,"Cancelada"))</f>
        <v/>
      </c>
      <c r="J14" s="14">
        <f>IF(B14="","",IFERROR(I14/D14,""))</f>
        <v/>
      </c>
      <c r="K14" s="34">
        <f>IF(B14="","",IFERROR(AVERAGEIFS(Actividades!$L$8:$L$47,Actividades!$E$8:$E$47,B14,Actividades!$M$8:$M$47,"Realizada"),""))</f>
        <v/>
      </c>
      <c r="L14" s="16">
        <f>IF(OR(B14="",H14=""),"",IF(H14&lt;$E$5,"Baja participación","Correcta"))</f>
        <v/>
      </c>
    </row>
    <row r="15">
      <c r="B15" s="29" t="inlineStr">
        <is>
          <t>Varios grupos</t>
        </is>
      </c>
      <c r="C15" s="29" t="inlineStr">
        <is>
          <t>Jefatura</t>
        </is>
      </c>
      <c r="D15" s="30" t="n"/>
      <c r="E15" s="12">
        <f>IF(B15="","",COUNTIFS(Actividades!$E$8:$E$47,B15,Actividades!$M$8:$M$47,"&lt;&gt;Cancelada"))</f>
        <v/>
      </c>
      <c r="F15" s="12">
        <f>IF(B15="","",COUNTIFS(Actividades!$E$8:$E$47,B15,Actividades!$M$8:$M$47,"Realizada"))</f>
        <v/>
      </c>
      <c r="G15" s="12">
        <f>IF(B15="","",SUMIFS(Actividades!$J$8:$J$47,Actividades!$E$8:$E$47,B15,Actividades!$M$8:$M$47,"Realizada"))</f>
        <v/>
      </c>
      <c r="H15" s="13">
        <f>IF(B15="","",IFERROR(G15/SUMIFS(Actividades!$H$8:$H$47,Actividades!$E$8:$E$47,B15,Actividades!$M$8:$M$47,"Realizada"),""))</f>
        <v/>
      </c>
      <c r="I15" s="14">
        <f>IF(B15="","",SUMIFS(Actividades!$K$8:$K$47,Actividades!$E$8:$E$47,B15)-SUMIFS(Actividades!$K$8:$K$47,Actividades!$E$8:$E$47,B15,Actividades!$M$8:$M$47,"Cancelada"))</f>
        <v/>
      </c>
      <c r="J15" s="14">
        <f>IF(B15="","",IFERROR(I15/D15,""))</f>
        <v/>
      </c>
      <c r="K15" s="34">
        <f>IF(B15="","",IFERROR(AVERAGEIFS(Actividades!$L$8:$L$47,Actividades!$E$8:$E$47,B15,Actividades!$M$8:$M$47,"Realizada"),""))</f>
        <v/>
      </c>
      <c r="L15" s="16">
        <f>IF(OR(B15="",H15=""),"",IF(H15&lt;$E$5,"Baja participación","Correcta"))</f>
        <v/>
      </c>
    </row>
    <row r="16">
      <c r="B16" s="29" t="n"/>
      <c r="C16" s="29" t="n"/>
      <c r="D16" s="30" t="n"/>
      <c r="E16" s="12">
        <f>IF(B16="","",COUNTIFS(Actividades!$E$8:$E$47,B16,Actividades!$M$8:$M$47,"&lt;&gt;Cancelada"))</f>
        <v/>
      </c>
      <c r="F16" s="12">
        <f>IF(B16="","",COUNTIFS(Actividades!$E$8:$E$47,B16,Actividades!$M$8:$M$47,"Realizada"))</f>
        <v/>
      </c>
      <c r="G16" s="12">
        <f>IF(B16="","",SUMIFS(Actividades!$J$8:$J$47,Actividades!$E$8:$E$47,B16,Actividades!$M$8:$M$47,"Realizada"))</f>
        <v/>
      </c>
      <c r="H16" s="13">
        <f>IF(B16="","",IFERROR(G16/SUMIFS(Actividades!$H$8:$H$47,Actividades!$E$8:$E$47,B16,Actividades!$M$8:$M$47,"Realizada"),""))</f>
        <v/>
      </c>
      <c r="I16" s="14">
        <f>IF(B16="","",SUMIFS(Actividades!$K$8:$K$47,Actividades!$E$8:$E$47,B16)-SUMIFS(Actividades!$K$8:$K$47,Actividades!$E$8:$E$47,B16,Actividades!$M$8:$M$47,"Cancelada"))</f>
        <v/>
      </c>
      <c r="J16" s="14">
        <f>IF(B16="","",IFERROR(I16/D16,""))</f>
        <v/>
      </c>
      <c r="K16" s="34">
        <f>IF(B16="","",IFERROR(AVERAGEIFS(Actividades!$L$8:$L$47,Actividades!$E$8:$E$47,B16,Actividades!$M$8:$M$47,"Realizada"),""))</f>
        <v/>
      </c>
      <c r="L16" s="16">
        <f>IF(OR(B16="",H16=""),"",IF(H16&lt;$E$5,"Baja participación","Correcta"))</f>
        <v/>
      </c>
    </row>
    <row r="17">
      <c r="B17" s="29" t="n"/>
      <c r="C17" s="29" t="n"/>
      <c r="D17" s="30" t="n"/>
      <c r="E17" s="12">
        <f>IF(B17="","",COUNTIFS(Actividades!$E$8:$E$47,B17,Actividades!$M$8:$M$47,"&lt;&gt;Cancelada"))</f>
        <v/>
      </c>
      <c r="F17" s="12">
        <f>IF(B17="","",COUNTIFS(Actividades!$E$8:$E$47,B17,Actividades!$M$8:$M$47,"Realizada"))</f>
        <v/>
      </c>
      <c r="G17" s="12">
        <f>IF(B17="","",SUMIFS(Actividades!$J$8:$J$47,Actividades!$E$8:$E$47,B17,Actividades!$M$8:$M$47,"Realizada"))</f>
        <v/>
      </c>
      <c r="H17" s="13">
        <f>IF(B17="","",IFERROR(G17/SUMIFS(Actividades!$H$8:$H$47,Actividades!$E$8:$E$47,B17,Actividades!$M$8:$M$47,"Realizada"),""))</f>
        <v/>
      </c>
      <c r="I17" s="14">
        <f>IF(B17="","",SUMIFS(Actividades!$K$8:$K$47,Actividades!$E$8:$E$47,B17)-SUMIFS(Actividades!$K$8:$K$47,Actividades!$E$8:$E$47,B17,Actividades!$M$8:$M$47,"Cancelada"))</f>
        <v/>
      </c>
      <c r="J17" s="14">
        <f>IF(B17="","",IFERROR(I17/D17,""))</f>
        <v/>
      </c>
      <c r="K17" s="34">
        <f>IF(B17="","",IFERROR(AVERAGEIFS(Actividades!$L$8:$L$47,Actividades!$E$8:$E$47,B17,Actividades!$M$8:$M$47,"Realizada"),""))</f>
        <v/>
      </c>
      <c r="L17" s="16">
        <f>IF(OR(B17="",H17=""),"",IF(H17&lt;$E$5,"Baja participación","Correcta"))</f>
        <v/>
      </c>
    </row>
    <row r="18">
      <c r="B18" s="17" t="inlineStr">
        <is>
          <t>Total</t>
        </is>
      </c>
      <c r="C18" s="17" t="inlineStr"/>
      <c r="D18" s="18">
        <f>SUM(D8:D17)</f>
        <v/>
      </c>
      <c r="E18" s="18">
        <f>SUM(E8:E17)</f>
        <v/>
      </c>
      <c r="F18" s="18">
        <f>SUM(F8:F17)</f>
        <v/>
      </c>
      <c r="G18" s="18">
        <f>SUM(G8:G17)</f>
        <v/>
      </c>
      <c r="H18" s="19">
        <f>IFERROR(G18/SUMIFS(Actividades!$H$8:$H$47,Actividades!$M$8:$M$47,"Realizada"),"")</f>
        <v/>
      </c>
      <c r="I18" s="20">
        <f>SUM(I8:I17)</f>
        <v/>
      </c>
      <c r="J18" s="20">
        <f>IFERROR(I18/D18,"")</f>
        <v/>
      </c>
      <c r="K18" s="32">
        <f>IFERROR(AVERAGEIF(Actividades!$M$8:$M$47,"Realizada",Actividades!$L$8:$L$47),"")</f>
        <v/>
      </c>
      <c r="L18" s="17" t="inlineStr"/>
    </row>
    <row r="20">
      <c r="B20" s="26" t="inlineStr">
        <is>
          <t>Los nombres de esta lista alimentan el desplegable de «Grupo» en la hoja Actividades. «Varios grupos» no suma alumnos para no duplicarlos.</t>
        </is>
      </c>
    </row>
  </sheetData>
  <sheetProtection selectLockedCells="0" selectUnlockedCells="0" sheet="1" objects="0" insertRows="0" insertHyperlinks="1" autoFilter="0" scenarios="0" formatColumns="0" deleteColumns="1" insertColumns="1" pivotTables="1" deleteRows="0" formatCells="0" formatRows="0" sort="0"/>
  <mergeCells count="2">
    <mergeCell ref="B2:L2"/>
    <mergeCell ref="B3:L3"/>
  </mergeCells>
  <conditionalFormatting sqref="L8:L17">
    <cfRule type="cellIs" priority="1" operator="equal" dxfId="0">
      <formula>"Baja participación"</formula>
    </cfRule>
    <cfRule type="cellIs" priority="2" operator="equal" dxfId="1">
      <formula>"Correcta"</formula>
    </cfRule>
  </conditionalFormatting>
  <conditionalFormatting sqref="I8:I17">
    <cfRule type="dataBar" priority="3">
      <dataBar>
        <cfvo type="num" val="0"/>
        <cfvo type="max"/>
        <color rgb="0010B981"/>
      </dataBar>
    </cfRule>
  </conditionalFormatting>
  <conditionalFormatting sqref="G8:G17">
    <cfRule type="dataBar" priority="4">
      <dataBar>
        <cfvo type="num" val="0"/>
        <cfvo type="max"/>
        <color rgb="0034D399"/>
      </dataBar>
    </cfRule>
  </conditionalFormatting>
  <pageMargins left="0.75" right="0.75" top="1" bottom="1" header="0.5" footer="0.5"/>
  <pageSetup orientation="landscape" fitToHeight="0" fitToWidth="1"/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tabColor rgb="009CA3AF"/>
    <outlinePr summaryBelow="1" summaryRight="1"/>
    <pageSetUpPr fitToPage="1"/>
  </sheetPr>
  <dimension ref="B2:B23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00" customWidth="1" min="2" max="2"/>
  </cols>
  <sheetData>
    <row r="2" ht="34" customHeight="1">
      <c r="B2" s="1" t="inlineStr">
        <is>
          <t>Registro de actividades complementarias y extraescolares · Cómo usarlo</t>
        </is>
      </c>
    </row>
    <row r="3">
      <c r="B3" s="3" t="inlineStr">
        <is>
          <t>Plantilla gratuita de Plantillas de Cálculo · plantillasdecalculo.com</t>
        </is>
      </c>
    </row>
    <row r="5">
      <c r="B5" s="9" t="inlineStr">
        <is>
          <t>CÓMO USARLA</t>
        </is>
      </c>
    </row>
    <row r="6" ht="30" customHeight="1">
      <c r="B6" s="35" t="inlineStr">
        <is>
          <t>1.  Ve a la hoja «Grupos» y escribe tus grupos (hasta 10) con su tutor/a y el nº de alumnos. Borra los ejemplos y pon los tuyos: alimentan el desplegable «Grupo».</t>
        </is>
      </c>
    </row>
    <row r="7" ht="30" customHeight="1">
      <c r="B7" s="35" t="inlineStr">
        <is>
          <t>2.  En «Grupos» ajusta la participación mínima deseada (celda E5, 85 % por defecto): por debajo aparece el aviso «Baja participación».</t>
        </is>
      </c>
    </row>
    <row r="8" ht="30" customHeight="1">
      <c r="B8" s="35" t="inlineStr">
        <is>
          <t>3.  En «Actividades» escribe el curso (C5) y añade una fila por actividad y grupo: fecha, nombre, tipo, grupo, responsable y objetivo didáctico.</t>
        </is>
      </c>
    </row>
    <row r="9" ht="30" customHeight="1">
      <c r="B9" s="35" t="inlineStr">
        <is>
          <t>4.  Anota los alumnos del grupo, las autorizaciones recibidas y el coste total de la actividad (autobús, entradas, monitores...). Pon 0 si es gratuita.</t>
        </is>
      </c>
    </row>
    <row r="10" ht="30" customHeight="1">
      <c r="B10" s="35" t="inlineStr">
        <is>
          <t>5.  Mientras la actividad esté pendiente, deja el estado en «Prevista»: la columna «Autoriz. pendientes» te dice cuántas firmas faltan.</t>
        </is>
      </c>
    </row>
    <row r="11" ht="30" customHeight="1">
      <c r="B11" s="35" t="inlineStr">
        <is>
          <t>6.  Cuando se haga, cambia el estado a «Realizada» y rellena «Participantes» y «Valoración» (1 a 5). Si se suspende, elige «Cancelada»: deja de contar en costes.</t>
        </is>
      </c>
    </row>
    <row r="12" ht="30" customHeight="1">
      <c r="B12" s="35" t="inlineStr">
        <is>
          <t>7.  Revisa la columna «Aviso»: marca actividades con autorizaciones pendientes, más participantes que autorizados o participantes sin anotar.</t>
        </is>
      </c>
    </row>
    <row r="13" ht="30" customHeight="1">
      <c r="B13" s="35" t="inlineStr">
        <is>
          <t>8.  En el «Panel» escribe el presupuesto de cada trimestre (celdas crema, columna Presupuesto) y consulta KPIs, margen, reparto por tipo, ranking de valoraciones y gráficos.</t>
        </is>
      </c>
    </row>
    <row r="15">
      <c r="B15" s="9" t="inlineStr">
        <is>
          <t>CONSEJOS</t>
        </is>
      </c>
    </row>
    <row r="16" ht="30" customHeight="1">
      <c r="B16" s="35" t="inlineStr">
        <is>
          <t>•  El trimestre se calcula por la fecha: 1T sept-dic, 2T ene-mar y 3T abr-agosto. Si tu centro usa otras fechas, indícalo en tus notas y ajusta el presupuesto de cada tramo.</t>
        </is>
      </c>
    </row>
    <row r="17" ht="30" customHeight="1">
      <c r="B17" s="35" t="inlineStr">
        <is>
          <t>•  Si una misma actividad afecta a varios grupos, crea una fila por grupo para que la participación y el coste por grupo sean exactos.</t>
        </is>
      </c>
    </row>
    <row r="18" ht="30" customHeight="1">
      <c r="B18" s="35" t="inlineStr">
        <is>
          <t>•  Los datos de ejemplo son ficticios. No cambies los nombres «Prevista», «Realizada» y «Cancelada»: las fórmulas los usan para contar.</t>
        </is>
      </c>
    </row>
    <row r="19" ht="30" customHeight="1">
      <c r="B19" s="35" t="inlineStr">
        <is>
          <t>•  Las hojas están protegidas sin contraseña (Revisar &gt; Desproteger hoja) para que no se borren las fórmulas.</t>
        </is>
      </c>
    </row>
    <row r="21">
      <c r="B21" s="26" t="inlineStr">
        <is>
          <t>Las celdas con fondo crema y texto azul son para rellenar; las verdes se calculan solas.</t>
        </is>
      </c>
    </row>
    <row r="23" ht="44" customHeight="1">
      <c r="B23" s="36" t="inlineStr">
        <is>
          <t>Aviso: esta plantilla solo organiza la información de tus actividades. Las autorizaciones, los seguros y los protocolos de salida deben seguir la normativa y las instrucciones de tu centro. Evita escribir datos personales identificables de los alumnos.</t>
        </is>
      </c>
    </row>
  </sheetData>
  <sheetProtection selectLockedCells="0" selectUnlockedCells="0" sheet="1" objects="0" insertRows="0" insertHyperlinks="1" autoFilter="0" scenarios="0" formatColumns="0" deleteColumns="1" insertColumns="1" pivotTables="1" deleteRows="0" formatCells="0" formatRows="0" sort="0"/>
  <mergeCells count="2">
    <mergeCell ref="B3"/>
    <mergeCell ref="B2"/>
  </mergeCells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4"/>
  <sheetViews>
    <sheetView showGridLines="0" workbookViewId="0">
      <selection activeCell="A1" sqref="A1"/>
    </sheetView>
  </sheetViews>
  <sheetFormatPr baseColWidth="8" defaultRowHeight="15"/>
  <sheetData>
    <row r="1">
      <c r="A1" t="inlineStr">
        <is>
          <t>Tipo</t>
        </is>
      </c>
      <c r="B1" t="inlineStr">
        <is>
          <t>Estado</t>
        </is>
      </c>
    </row>
    <row r="2">
      <c r="A2" t="inlineStr">
        <is>
          <t>Complementaria</t>
        </is>
      </c>
      <c r="B2" t="inlineStr">
        <is>
          <t>Prevista</t>
        </is>
      </c>
    </row>
    <row r="3">
      <c r="A3" t="inlineStr">
        <is>
          <t>Extraescolar</t>
        </is>
      </c>
      <c r="B3" t="inlineStr">
        <is>
          <t>Realizada</t>
        </is>
      </c>
    </row>
    <row r="4">
      <c r="B4" t="inlineStr">
        <is>
          <t>Cancelada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2026-10-03T09:48:49Z</dcterms:created>
  <dcterms:modified xmlns:dcterms="http://purl.org/dc/terms/" xmlns:xsi="http://www.w3.org/2001/XMLSchema-instance" xsi:type="dcterms:W3CDTF">2026-10-03T09:48:50Z</dcterms:modified>
</cp:coreProperties>
</file>