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Libros" sheetId="2" state="visible" r:id="rId2"/>
    <sheet xmlns:r="http://schemas.openxmlformats.org/officeDocument/2006/relationships" name="Instrucciones" sheetId="3" state="visible" r:id="rId3"/>
    <sheet xmlns:r="http://schemas.openxmlformats.org/officeDocument/2006/relationships" name="Listas" sheetId="4" state="hidden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0.0"/>
    <numFmt numFmtId="167" formatCode="0.00000"/>
  </numFmts>
  <fonts count="16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color rgb="006B7280"/>
      <sz val="8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047857"/>
      <sz val="10"/>
    </font>
    <font>
      <name val="Arial"/>
      <color rgb="006B7280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  <fill>
      <patternFill patternType="solid">
        <fgColor rgb="00D1FAE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7" fillId="5" borderId="0" applyAlignment="1" pivotButton="0" quotePrefix="0" xfId="0">
      <alignment horizontal="center" vertical="center" wrapText="1"/>
    </xf>
    <xf numFmtId="3" fontId="8" fillId="5" borderId="0" applyAlignment="1" pivotButton="0" quotePrefix="0" xfId="0">
      <alignment horizontal="center" vertical="center"/>
    </xf>
    <xf numFmtId="9" fontId="8" fillId="5" borderId="0" applyAlignment="1" pivotButton="0" quotePrefix="0" xfId="0">
      <alignment horizontal="center" vertical="center"/>
    </xf>
    <xf numFmtId="166" fontId="8" fillId="5" borderId="0" applyAlignment="1" pivotButton="0" quotePrefix="0" xfId="0">
      <alignment horizontal="center" vertical="center"/>
    </xf>
    <xf numFmtId="0" fontId="9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1" fontId="4" fillId="4" borderId="1" applyAlignment="1" applyProtection="1" pivotButton="0" quotePrefix="0" xfId="0">
      <alignment horizontal="center" vertical="center"/>
      <protection locked="0" hidden="0"/>
    </xf>
    <xf numFmtId="3" fontId="11" fillId="0" borderId="1" applyAlignment="1" pivotButton="0" quotePrefix="0" xfId="0">
      <alignment horizontal="center" vertical="center"/>
    </xf>
    <xf numFmtId="9" fontId="11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/>
    </xf>
    <xf numFmtId="3" fontId="4" fillId="4" borderId="1" applyAlignment="1" applyProtection="1" pivotButton="0" quotePrefix="0" xfId="0">
      <alignment horizontal="center" vertical="center"/>
      <protection locked="0" hidden="0"/>
    </xf>
    <xf numFmtId="0" fontId="12" fillId="0" borderId="0" applyAlignment="1" pivotButton="0" quotePrefix="0" xfId="0">
      <alignment vertical="center"/>
    </xf>
    <xf numFmtId="3" fontId="5" fillId="0" borderId="1" applyAlignment="1" pivotButton="0" quotePrefix="0" xfId="0">
      <alignment horizontal="center" vertical="center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165" fontId="11" fillId="0" borderId="1" applyAlignment="1" pivotButton="0" quotePrefix="0" xfId="0">
      <alignment horizontal="center" vertical="center"/>
    </xf>
    <xf numFmtId="166" fontId="5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/>
    </xf>
    <xf numFmtId="0" fontId="11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3" fontId="14" fillId="6" borderId="1" applyAlignment="1" pivotButton="0" quotePrefix="0" xfId="0">
      <alignment horizontal="center"/>
    </xf>
    <xf numFmtId="166" fontId="14" fillId="6" borderId="1" applyAlignment="1" pivotButton="0" quotePrefix="0" xfId="0">
      <alignment horizontal="center"/>
    </xf>
    <xf numFmtId="1" fontId="11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1" fontId="6" fillId="0" borderId="1" applyAlignment="1" pivotButton="0" quotePrefix="0" xfId="0">
      <alignment horizontal="center" vertical="center"/>
    </xf>
    <xf numFmtId="9" fontId="5" fillId="0" borderId="1" applyAlignment="1" pivotButton="0" quotePrefix="0" xfId="0">
      <alignment horizontal="center" vertical="center"/>
    </xf>
    <xf numFmtId="0" fontId="4" fillId="4" borderId="1" applyAlignment="1" applyProtection="1" pivotButton="0" quotePrefix="0" xfId="0">
      <alignment vertical="center"/>
      <protection locked="0" hidden="0"/>
    </xf>
    <xf numFmtId="0" fontId="4" fillId="4" borderId="1" applyAlignment="1" applyProtection="1" pivotButton="0" quotePrefix="0" xfId="0">
      <alignment horizontal="center" vertical="center"/>
      <protection locked="0" hidden="0"/>
    </xf>
    <xf numFmtId="1" fontId="5" fillId="0" borderId="1" applyAlignment="1" pivotButton="0" quotePrefix="0" xfId="0">
      <alignment horizontal="center" vertical="center"/>
    </xf>
    <xf numFmtId="167" fontId="6" fillId="0" borderId="1" applyAlignment="1" pivotButton="0" quotePrefix="0" xfId="0">
      <alignment vertical="center"/>
    </xf>
    <xf numFmtId="0" fontId="10" fillId="0" borderId="0" applyAlignment="1" pivotButton="0" quotePrefix="0" xfId="0">
      <alignment vertical="center" wrapText="1"/>
    </xf>
    <xf numFmtId="0" fontId="15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B91C1C"/>
      </font>
      <fill>
        <patternFill patternType="solid">
          <fgColor rgb="00FEE2E2"/>
          <b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Páginas leídas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'Panel'!D19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'Panel'!$B$20:$B$31</f>
            </numRef>
          </cat>
          <val>
            <numRef>
              <f>'Panel'!$D$20:$D$31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Libros por género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'Panel'!I19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'Panel'!$H$20:$H$27</f>
            </numRef>
          </cat>
          <val>
            <numRef>
              <f>'Panel'!$I$20:$I$27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1</col>
      <colOff>0</colOff>
      <row>50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50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L4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14" customWidth="1" min="4" max="4"/>
    <col width="24" customWidth="1" min="5" max="5"/>
    <col width="14" customWidth="1" min="6" max="6"/>
    <col width="20" customWidth="1" min="7" max="7"/>
    <col width="28" customWidth="1" min="8" max="8"/>
    <col width="12" customWidth="1" min="9" max="9"/>
    <col width="12" customWidth="1" min="10" max="10"/>
    <col width="14" customWidth="1" min="11" max="11"/>
    <col width="6" customWidth="1" min="12" max="12"/>
  </cols>
  <sheetData>
    <row r="2" ht="34" customHeight="1">
      <c r="B2" s="1" t="inlineStr">
        <is>
          <t>Panel de lectura anual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Objetivo, ritmo, páginas por mes y géneros · Datos de ejemplo ficticios: sustitúyelos por los tuyos</t>
        </is>
      </c>
    </row>
    <row r="5" ht="32" customHeight="1">
      <c r="B5" s="4" t="inlineStr">
        <is>
          <t>LIBROS TERMINADOS (AÑO)</t>
        </is>
      </c>
      <c r="C5" s="4" t="inlineStr">
        <is>
          <t>% OBJETIVO DE LIBROS</t>
        </is>
      </c>
      <c r="D5" s="4" t="inlineStr">
        <is>
          <t>PÁGINAS LEÍDAS (AÑO)</t>
        </is>
      </c>
      <c r="E5" s="4" t="inlineStr">
        <is>
          <t>VALORACIÓN MEDIA</t>
        </is>
      </c>
      <c r="F5" s="4" t="inlineStr">
        <is>
          <t>LEYENDO AHORA</t>
        </is>
      </c>
      <c r="G5" s="4" t="inlineStr">
        <is>
          <t>PENDIENTES EN LISTA</t>
        </is>
      </c>
      <c r="H5" s="4" t="inlineStr">
        <is>
          <t>LIBROS ABANDONADOS</t>
        </is>
      </c>
    </row>
    <row r="6" ht="36" customHeight="1">
      <c r="B6" s="5">
        <f>F9</f>
        <v/>
      </c>
      <c r="C6" s="6">
        <f>F10</f>
        <v/>
      </c>
      <c r="D6" s="5">
        <f>F11</f>
        <v/>
      </c>
      <c r="E6" s="7">
        <f>IFERROR(ROUND(SUMIFS(Libros!$K$7:$K$46,Libros!$Q$7:$Q$46,$C$9)/COUNTIFS(Libros!$Q$7:$Q$46,$C$9,Libros!$K$7:$K$46,"&gt;0"),1),0)</f>
        <v/>
      </c>
      <c r="F6" s="5">
        <f>COUNTIF(Libros!$G$7:$G$46,"Leyendo")</f>
        <v/>
      </c>
      <c r="G6" s="5">
        <f>COUNTIF(Libros!$G$7:$G$46,"Pendiente")</f>
        <v/>
      </c>
      <c r="H6" s="5">
        <f>COUNTIF(Libros!$G$7:$G$46,"Abandonado")</f>
        <v/>
      </c>
    </row>
    <row r="8">
      <c r="B8" s="8" t="inlineStr">
        <is>
          <t>OBJETIVO Y AJUSTES</t>
        </is>
      </c>
      <c r="E8" s="8" t="inlineStr">
        <is>
          <t>PROGRESO DEL AÑO</t>
        </is>
      </c>
    </row>
    <row r="9">
      <c r="B9" s="9" t="inlineStr">
        <is>
          <t>Año del objetivo</t>
        </is>
      </c>
      <c r="C9" s="10" t="n">
        <v>2026</v>
      </c>
      <c r="E9" s="9" t="inlineStr">
        <is>
          <t>Libros terminados</t>
        </is>
      </c>
      <c r="F9" s="11">
        <f>COUNTIFS(Libros!$Q$7:$Q$46,$C$9)</f>
        <v/>
      </c>
    </row>
    <row r="10">
      <c r="B10" s="9" t="inlineStr">
        <is>
          <t>Objetivo de libros</t>
        </is>
      </c>
      <c r="C10" s="10" t="n">
        <v>10</v>
      </c>
      <c r="E10" s="9" t="inlineStr">
        <is>
          <t>Progreso en libros</t>
        </is>
      </c>
      <c r="F10" s="12">
        <f>IF($C$10=0,0,F9/$C$10)</f>
        <v/>
      </c>
      <c r="G10" s="13">
        <f>REPT("█",ROUND(MIN(1,F10)*20,0))&amp;REPT("░",20-ROUND(MIN(1,F10)*20,0))</f>
        <v/>
      </c>
    </row>
    <row r="11">
      <c r="B11" s="9" t="inlineStr">
        <is>
          <t>Objetivo de páginas</t>
        </is>
      </c>
      <c r="C11" s="14" t="n">
        <v>5000</v>
      </c>
      <c r="E11" s="9" t="inlineStr">
        <is>
          <t>Páginas leídas</t>
        </is>
      </c>
      <c r="F11" s="11">
        <f>SUMIFS(Libros!$F$7:$F$46,Libros!$Q$7:$Q$46,$C$9)</f>
        <v/>
      </c>
      <c r="G11" s="15" t="inlineStr">
        <is>
          <t>Páginas por libro (media)</t>
        </is>
      </c>
      <c r="H11" s="16">
        <f>IF(F9=0,0,ROUND(F11/F9,0))</f>
        <v/>
      </c>
    </row>
    <row r="12">
      <c r="B12" s="9" t="inlineStr">
        <is>
          <t>Fecha de referencia</t>
        </is>
      </c>
      <c r="C12" s="17" t="n">
        <v>46295</v>
      </c>
      <c r="E12" s="9" t="inlineStr">
        <is>
          <t>Progreso en páginas</t>
        </is>
      </c>
      <c r="F12" s="12">
        <f>IF($C$11=0,0,F11/$C$11)</f>
        <v/>
      </c>
      <c r="G12" s="13">
        <f>REPT("█",ROUND(MIN(1,F12)*20,0))&amp;REPT("░",20-ROUND(MIN(1,F12)*20,0))</f>
        <v/>
      </c>
    </row>
    <row r="13">
      <c r="B13" s="9" t="inlineStr">
        <is>
          <t>Fecha que se usa</t>
        </is>
      </c>
      <c r="C13" s="18">
        <f>IF(C12="",TODAY(),C12)</f>
        <v/>
      </c>
      <c r="E13" s="9" t="inlineStr">
        <is>
          <t>Libros esperados a la fecha</t>
        </is>
      </c>
      <c r="F13" s="19">
        <f>ROUND($C$10*MIN(1,MAX(0,($C$13-DATE($C$9,1,1)+1)/(DATE($C$9,12,31)-DATE($C$9,1,1)+1))),1)</f>
        <v/>
      </c>
    </row>
    <row r="14">
      <c r="B14" s="20" t="inlineStr">
        <is>
          <t>Borra la fecha de referencia para usar la de hoy.</t>
        </is>
      </c>
      <c r="E14" s="9" t="inlineStr">
        <is>
          <t>Ritmo de lectura</t>
        </is>
      </c>
      <c r="F14" s="21">
        <f>IF(F9&gt;=F13,"Por delante","Por detrás")</f>
        <v/>
      </c>
    </row>
    <row r="15">
      <c r="E15" s="9" t="inlineStr">
        <is>
          <t>Libros que faltan</t>
        </is>
      </c>
      <c r="F15" s="16">
        <f>MAX(0,$C$10-F9)</f>
        <v/>
      </c>
    </row>
    <row r="16">
      <c r="E16" s="9" t="inlineStr">
        <is>
          <t>Libros al mes que necesitas</t>
        </is>
      </c>
      <c r="F16" s="19">
        <f>IF(F15=0,0,ROUND(F15/MAX(1,(DATE($C$9,12,31)-$C$13)/30.4),1))</f>
        <v/>
      </c>
    </row>
    <row r="18">
      <c r="B18" s="8" t="inlineStr">
        <is>
          <t>LECTURA POR MES (año del objetivo)</t>
        </is>
      </c>
      <c r="H18" s="8" t="inlineStr">
        <is>
          <t>LECTURA POR GÉNERO (año del objetivo)</t>
        </is>
      </c>
    </row>
    <row r="19" ht="26" customHeight="1">
      <c r="B19" s="22" t="inlineStr">
        <is>
          <t>Mes</t>
        </is>
      </c>
      <c r="C19" s="22" t="inlineStr">
        <is>
          <t>Libros</t>
        </is>
      </c>
      <c r="D19" s="22" t="inlineStr">
        <is>
          <t>Páginas</t>
        </is>
      </c>
      <c r="E19" s="22" t="inlineStr">
        <is>
          <t>Páginas acumuladas</t>
        </is>
      </c>
      <c r="F19" s="22" t="inlineStr">
        <is>
          <t>Valoración media</t>
        </is>
      </c>
      <c r="H19" s="22" t="inlineStr">
        <is>
          <t>Género</t>
        </is>
      </c>
      <c r="I19" s="22" t="inlineStr">
        <is>
          <t>Libros</t>
        </is>
      </c>
      <c r="J19" s="22" t="inlineStr">
        <is>
          <t>Páginas</t>
        </is>
      </c>
      <c r="K19" s="22" t="inlineStr">
        <is>
          <t>Valoración media</t>
        </is>
      </c>
    </row>
    <row r="20">
      <c r="B20" s="23" t="inlineStr">
        <is>
          <t>Enero</t>
        </is>
      </c>
      <c r="C20" s="16">
        <f>COUNTIFS(Libros!$Q$7:$Q$46,$C$9,Libros!$R$7:$R$46,1)</f>
        <v/>
      </c>
      <c r="D20" s="16">
        <f>SUMIFS(Libros!$F$7:$F$46,Libros!$Q$7:$Q$46,$C$9,Libros!$R$7:$R$46,1)</f>
        <v/>
      </c>
      <c r="E20" s="16">
        <f>SUM($D$20:D20)</f>
        <v/>
      </c>
      <c r="F20" s="19">
        <f>IF(C20=0,"",IFERROR(ROUND(SUMIFS(Libros!$K$7:$K$46,Libros!$Q$7:$Q$46,$C$9,Libros!$R$7:$R$46,1)/COUNTIFS(Libros!$Q$7:$Q$46,$C$9,Libros!$R$7:$R$46,1,Libros!$K$7:$K$46,"&gt;0"),1),""))</f>
        <v/>
      </c>
      <c r="H20" s="13">
        <f>Listas!$A$2</f>
        <v/>
      </c>
      <c r="I20" s="16">
        <f>COUNTIFS(Libros!$Q$7:$Q$46,$C$9,Libros!$D$7:$D$46,H20)</f>
        <v/>
      </c>
      <c r="J20" s="16">
        <f>SUMIFS(Libros!$F$7:$F$46,Libros!$Q$7:$Q$46,$C$9,Libros!$D$7:$D$46,H20)</f>
        <v/>
      </c>
      <c r="K20" s="19">
        <f>IF(I20=0,"",IFERROR(ROUND(SUMIFS(Libros!$K$7:$K$46,Libros!$Q$7:$Q$46,$C$9,Libros!$D$7:$D$46,H20)/COUNTIFS(Libros!$Q$7:$Q$46,$C$9,Libros!$D$7:$D$46,H20,Libros!$K$7:$K$46,"&gt;0"),1),""))</f>
        <v/>
      </c>
    </row>
    <row r="21">
      <c r="B21" s="23" t="inlineStr">
        <is>
          <t>Febrero</t>
        </is>
      </c>
      <c r="C21" s="16">
        <f>COUNTIFS(Libros!$Q$7:$Q$46,$C$9,Libros!$R$7:$R$46,2)</f>
        <v/>
      </c>
      <c r="D21" s="16">
        <f>SUMIFS(Libros!$F$7:$F$46,Libros!$Q$7:$Q$46,$C$9,Libros!$R$7:$R$46,2)</f>
        <v/>
      </c>
      <c r="E21" s="16">
        <f>SUM($D$20:D21)</f>
        <v/>
      </c>
      <c r="F21" s="19">
        <f>IF(C21=0,"",IFERROR(ROUND(SUMIFS(Libros!$K$7:$K$46,Libros!$Q$7:$Q$46,$C$9,Libros!$R$7:$R$46,2)/COUNTIFS(Libros!$Q$7:$Q$46,$C$9,Libros!$R$7:$R$46,2,Libros!$K$7:$K$46,"&gt;0"),1),""))</f>
        <v/>
      </c>
      <c r="H21" s="13">
        <f>Listas!$A$3</f>
        <v/>
      </c>
      <c r="I21" s="16">
        <f>COUNTIFS(Libros!$Q$7:$Q$46,$C$9,Libros!$D$7:$D$46,H21)</f>
        <v/>
      </c>
      <c r="J21" s="16">
        <f>SUMIFS(Libros!$F$7:$F$46,Libros!$Q$7:$Q$46,$C$9,Libros!$D$7:$D$46,H21)</f>
        <v/>
      </c>
      <c r="K21" s="19">
        <f>IF(I21=0,"",IFERROR(ROUND(SUMIFS(Libros!$K$7:$K$46,Libros!$Q$7:$Q$46,$C$9,Libros!$D$7:$D$46,H21)/COUNTIFS(Libros!$Q$7:$Q$46,$C$9,Libros!$D$7:$D$46,H21,Libros!$K$7:$K$46,"&gt;0"),1),""))</f>
        <v/>
      </c>
    </row>
    <row r="22">
      <c r="B22" s="23" t="inlineStr">
        <is>
          <t>Marzo</t>
        </is>
      </c>
      <c r="C22" s="16">
        <f>COUNTIFS(Libros!$Q$7:$Q$46,$C$9,Libros!$R$7:$R$46,3)</f>
        <v/>
      </c>
      <c r="D22" s="16">
        <f>SUMIFS(Libros!$F$7:$F$46,Libros!$Q$7:$Q$46,$C$9,Libros!$R$7:$R$46,3)</f>
        <v/>
      </c>
      <c r="E22" s="16">
        <f>SUM($D$20:D22)</f>
        <v/>
      </c>
      <c r="F22" s="19">
        <f>IF(C22=0,"",IFERROR(ROUND(SUMIFS(Libros!$K$7:$K$46,Libros!$Q$7:$Q$46,$C$9,Libros!$R$7:$R$46,3)/COUNTIFS(Libros!$Q$7:$Q$46,$C$9,Libros!$R$7:$R$46,3,Libros!$K$7:$K$46,"&gt;0"),1),""))</f>
        <v/>
      </c>
      <c r="H22" s="13">
        <f>Listas!$A$4</f>
        <v/>
      </c>
      <c r="I22" s="16">
        <f>COUNTIFS(Libros!$Q$7:$Q$46,$C$9,Libros!$D$7:$D$46,H22)</f>
        <v/>
      </c>
      <c r="J22" s="16">
        <f>SUMIFS(Libros!$F$7:$F$46,Libros!$Q$7:$Q$46,$C$9,Libros!$D$7:$D$46,H22)</f>
        <v/>
      </c>
      <c r="K22" s="19">
        <f>IF(I22=0,"",IFERROR(ROUND(SUMIFS(Libros!$K$7:$K$46,Libros!$Q$7:$Q$46,$C$9,Libros!$D$7:$D$46,H22)/COUNTIFS(Libros!$Q$7:$Q$46,$C$9,Libros!$D$7:$D$46,H22,Libros!$K$7:$K$46,"&gt;0"),1),""))</f>
        <v/>
      </c>
    </row>
    <row r="23">
      <c r="B23" s="23" t="inlineStr">
        <is>
          <t>Abril</t>
        </is>
      </c>
      <c r="C23" s="16">
        <f>COUNTIFS(Libros!$Q$7:$Q$46,$C$9,Libros!$R$7:$R$46,4)</f>
        <v/>
      </c>
      <c r="D23" s="16">
        <f>SUMIFS(Libros!$F$7:$F$46,Libros!$Q$7:$Q$46,$C$9,Libros!$R$7:$R$46,4)</f>
        <v/>
      </c>
      <c r="E23" s="16">
        <f>SUM($D$20:D23)</f>
        <v/>
      </c>
      <c r="F23" s="19">
        <f>IF(C23=0,"",IFERROR(ROUND(SUMIFS(Libros!$K$7:$K$46,Libros!$Q$7:$Q$46,$C$9,Libros!$R$7:$R$46,4)/COUNTIFS(Libros!$Q$7:$Q$46,$C$9,Libros!$R$7:$R$46,4,Libros!$K$7:$K$46,"&gt;0"),1),""))</f>
        <v/>
      </c>
      <c r="H23" s="13">
        <f>Listas!$A$5</f>
        <v/>
      </c>
      <c r="I23" s="16">
        <f>COUNTIFS(Libros!$Q$7:$Q$46,$C$9,Libros!$D$7:$D$46,H23)</f>
        <v/>
      </c>
      <c r="J23" s="16">
        <f>SUMIFS(Libros!$F$7:$F$46,Libros!$Q$7:$Q$46,$C$9,Libros!$D$7:$D$46,H23)</f>
        <v/>
      </c>
      <c r="K23" s="19">
        <f>IF(I23=0,"",IFERROR(ROUND(SUMIFS(Libros!$K$7:$K$46,Libros!$Q$7:$Q$46,$C$9,Libros!$D$7:$D$46,H23)/COUNTIFS(Libros!$Q$7:$Q$46,$C$9,Libros!$D$7:$D$46,H23,Libros!$K$7:$K$46,"&gt;0"),1),""))</f>
        <v/>
      </c>
    </row>
    <row r="24">
      <c r="B24" s="23" t="inlineStr">
        <is>
          <t>Mayo</t>
        </is>
      </c>
      <c r="C24" s="16">
        <f>COUNTIFS(Libros!$Q$7:$Q$46,$C$9,Libros!$R$7:$R$46,5)</f>
        <v/>
      </c>
      <c r="D24" s="16">
        <f>SUMIFS(Libros!$F$7:$F$46,Libros!$Q$7:$Q$46,$C$9,Libros!$R$7:$R$46,5)</f>
        <v/>
      </c>
      <c r="E24" s="16">
        <f>SUM($D$20:D24)</f>
        <v/>
      </c>
      <c r="F24" s="19">
        <f>IF(C24=0,"",IFERROR(ROUND(SUMIFS(Libros!$K$7:$K$46,Libros!$Q$7:$Q$46,$C$9,Libros!$R$7:$R$46,5)/COUNTIFS(Libros!$Q$7:$Q$46,$C$9,Libros!$R$7:$R$46,5,Libros!$K$7:$K$46,"&gt;0"),1),""))</f>
        <v/>
      </c>
      <c r="H24" s="13">
        <f>Listas!$A$6</f>
        <v/>
      </c>
      <c r="I24" s="16">
        <f>COUNTIFS(Libros!$Q$7:$Q$46,$C$9,Libros!$D$7:$D$46,H24)</f>
        <v/>
      </c>
      <c r="J24" s="16">
        <f>SUMIFS(Libros!$F$7:$F$46,Libros!$Q$7:$Q$46,$C$9,Libros!$D$7:$D$46,H24)</f>
        <v/>
      </c>
      <c r="K24" s="19">
        <f>IF(I24=0,"",IFERROR(ROUND(SUMIFS(Libros!$K$7:$K$46,Libros!$Q$7:$Q$46,$C$9,Libros!$D$7:$D$46,H24)/COUNTIFS(Libros!$Q$7:$Q$46,$C$9,Libros!$D$7:$D$46,H24,Libros!$K$7:$K$46,"&gt;0"),1),""))</f>
        <v/>
      </c>
    </row>
    <row r="25">
      <c r="B25" s="23" t="inlineStr">
        <is>
          <t>Junio</t>
        </is>
      </c>
      <c r="C25" s="16">
        <f>COUNTIFS(Libros!$Q$7:$Q$46,$C$9,Libros!$R$7:$R$46,6)</f>
        <v/>
      </c>
      <c r="D25" s="16">
        <f>SUMIFS(Libros!$F$7:$F$46,Libros!$Q$7:$Q$46,$C$9,Libros!$R$7:$R$46,6)</f>
        <v/>
      </c>
      <c r="E25" s="16">
        <f>SUM($D$20:D25)</f>
        <v/>
      </c>
      <c r="F25" s="19">
        <f>IF(C25=0,"",IFERROR(ROUND(SUMIFS(Libros!$K$7:$K$46,Libros!$Q$7:$Q$46,$C$9,Libros!$R$7:$R$46,6)/COUNTIFS(Libros!$Q$7:$Q$46,$C$9,Libros!$R$7:$R$46,6,Libros!$K$7:$K$46,"&gt;0"),1),""))</f>
        <v/>
      </c>
      <c r="H25" s="13">
        <f>Listas!$A$7</f>
        <v/>
      </c>
      <c r="I25" s="16">
        <f>COUNTIFS(Libros!$Q$7:$Q$46,$C$9,Libros!$D$7:$D$46,H25)</f>
        <v/>
      </c>
      <c r="J25" s="16">
        <f>SUMIFS(Libros!$F$7:$F$46,Libros!$Q$7:$Q$46,$C$9,Libros!$D$7:$D$46,H25)</f>
        <v/>
      </c>
      <c r="K25" s="19">
        <f>IF(I25=0,"",IFERROR(ROUND(SUMIFS(Libros!$K$7:$K$46,Libros!$Q$7:$Q$46,$C$9,Libros!$D$7:$D$46,H25)/COUNTIFS(Libros!$Q$7:$Q$46,$C$9,Libros!$D$7:$D$46,H25,Libros!$K$7:$K$46,"&gt;0"),1),""))</f>
        <v/>
      </c>
    </row>
    <row r="26">
      <c r="B26" s="23" t="inlineStr">
        <is>
          <t>Julio</t>
        </is>
      </c>
      <c r="C26" s="16">
        <f>COUNTIFS(Libros!$Q$7:$Q$46,$C$9,Libros!$R$7:$R$46,7)</f>
        <v/>
      </c>
      <c r="D26" s="16">
        <f>SUMIFS(Libros!$F$7:$F$46,Libros!$Q$7:$Q$46,$C$9,Libros!$R$7:$R$46,7)</f>
        <v/>
      </c>
      <c r="E26" s="16">
        <f>SUM($D$20:D26)</f>
        <v/>
      </c>
      <c r="F26" s="19">
        <f>IF(C26=0,"",IFERROR(ROUND(SUMIFS(Libros!$K$7:$K$46,Libros!$Q$7:$Q$46,$C$9,Libros!$R$7:$R$46,7)/COUNTIFS(Libros!$Q$7:$Q$46,$C$9,Libros!$R$7:$R$46,7,Libros!$K$7:$K$46,"&gt;0"),1),""))</f>
        <v/>
      </c>
      <c r="H26" s="13">
        <f>Listas!$A$8</f>
        <v/>
      </c>
      <c r="I26" s="16">
        <f>COUNTIFS(Libros!$Q$7:$Q$46,$C$9,Libros!$D$7:$D$46,H26)</f>
        <v/>
      </c>
      <c r="J26" s="16">
        <f>SUMIFS(Libros!$F$7:$F$46,Libros!$Q$7:$Q$46,$C$9,Libros!$D$7:$D$46,H26)</f>
        <v/>
      </c>
      <c r="K26" s="19">
        <f>IF(I26=0,"",IFERROR(ROUND(SUMIFS(Libros!$K$7:$K$46,Libros!$Q$7:$Q$46,$C$9,Libros!$D$7:$D$46,H26)/COUNTIFS(Libros!$Q$7:$Q$46,$C$9,Libros!$D$7:$D$46,H26,Libros!$K$7:$K$46,"&gt;0"),1),""))</f>
        <v/>
      </c>
    </row>
    <row r="27">
      <c r="B27" s="23" t="inlineStr">
        <is>
          <t>Agosto</t>
        </is>
      </c>
      <c r="C27" s="16">
        <f>COUNTIFS(Libros!$Q$7:$Q$46,$C$9,Libros!$R$7:$R$46,8)</f>
        <v/>
      </c>
      <c r="D27" s="16">
        <f>SUMIFS(Libros!$F$7:$F$46,Libros!$Q$7:$Q$46,$C$9,Libros!$R$7:$R$46,8)</f>
        <v/>
      </c>
      <c r="E27" s="16">
        <f>SUM($D$20:D27)</f>
        <v/>
      </c>
      <c r="F27" s="19">
        <f>IF(C27=0,"",IFERROR(ROUND(SUMIFS(Libros!$K$7:$K$46,Libros!$Q$7:$Q$46,$C$9,Libros!$R$7:$R$46,8)/COUNTIFS(Libros!$Q$7:$Q$46,$C$9,Libros!$R$7:$R$46,8,Libros!$K$7:$K$46,"&gt;0"),1),""))</f>
        <v/>
      </c>
      <c r="H27" s="13">
        <f>Listas!$A$9</f>
        <v/>
      </c>
      <c r="I27" s="16">
        <f>COUNTIFS(Libros!$Q$7:$Q$46,$C$9,Libros!$D$7:$D$46,H27)</f>
        <v/>
      </c>
      <c r="J27" s="16">
        <f>SUMIFS(Libros!$F$7:$F$46,Libros!$Q$7:$Q$46,$C$9,Libros!$D$7:$D$46,H27)</f>
        <v/>
      </c>
      <c r="K27" s="19">
        <f>IF(I27=0,"",IFERROR(ROUND(SUMIFS(Libros!$K$7:$K$46,Libros!$Q$7:$Q$46,$C$9,Libros!$D$7:$D$46,H27)/COUNTIFS(Libros!$Q$7:$Q$46,$C$9,Libros!$D$7:$D$46,H27,Libros!$K$7:$K$46,"&gt;0"),1),""))</f>
        <v/>
      </c>
    </row>
    <row r="28">
      <c r="B28" s="23" t="inlineStr">
        <is>
          <t>Septiembre</t>
        </is>
      </c>
      <c r="C28" s="16">
        <f>COUNTIFS(Libros!$Q$7:$Q$46,$C$9,Libros!$R$7:$R$46,9)</f>
        <v/>
      </c>
      <c r="D28" s="16">
        <f>SUMIFS(Libros!$F$7:$F$46,Libros!$Q$7:$Q$46,$C$9,Libros!$R$7:$R$46,9)</f>
        <v/>
      </c>
      <c r="E28" s="16">
        <f>SUM($D$20:D28)</f>
        <v/>
      </c>
      <c r="F28" s="19">
        <f>IF(C28=0,"",IFERROR(ROUND(SUMIFS(Libros!$K$7:$K$46,Libros!$Q$7:$Q$46,$C$9,Libros!$R$7:$R$46,9)/COUNTIFS(Libros!$Q$7:$Q$46,$C$9,Libros!$R$7:$R$46,9,Libros!$K$7:$K$46,"&gt;0"),1),""))</f>
        <v/>
      </c>
      <c r="H28" s="24" t="inlineStr">
        <is>
          <t>Total</t>
        </is>
      </c>
      <c r="I28" s="25">
        <f>SUM(I20:I27)</f>
        <v/>
      </c>
      <c r="J28" s="25">
        <f>SUM(J20:J27)</f>
        <v/>
      </c>
    </row>
    <row r="29">
      <c r="B29" s="23" t="inlineStr">
        <is>
          <t>Octubre</t>
        </is>
      </c>
      <c r="C29" s="16">
        <f>COUNTIFS(Libros!$Q$7:$Q$46,$C$9,Libros!$R$7:$R$46,10)</f>
        <v/>
      </c>
      <c r="D29" s="16">
        <f>SUMIFS(Libros!$F$7:$F$46,Libros!$Q$7:$Q$46,$C$9,Libros!$R$7:$R$46,10)</f>
        <v/>
      </c>
      <c r="E29" s="16">
        <f>SUM($D$20:D29)</f>
        <v/>
      </c>
      <c r="F29" s="19">
        <f>IF(C29=0,"",IFERROR(ROUND(SUMIFS(Libros!$K$7:$K$46,Libros!$Q$7:$Q$46,$C$9,Libros!$R$7:$R$46,10)/COUNTIFS(Libros!$Q$7:$Q$46,$C$9,Libros!$R$7:$R$46,10,Libros!$K$7:$K$46,"&gt;0"),1),""))</f>
        <v/>
      </c>
    </row>
    <row r="30">
      <c r="B30" s="23" t="inlineStr">
        <is>
          <t>Noviembre</t>
        </is>
      </c>
      <c r="C30" s="16">
        <f>COUNTIFS(Libros!$Q$7:$Q$46,$C$9,Libros!$R$7:$R$46,11)</f>
        <v/>
      </c>
      <c r="D30" s="16">
        <f>SUMIFS(Libros!$F$7:$F$46,Libros!$Q$7:$Q$46,$C$9,Libros!$R$7:$R$46,11)</f>
        <v/>
      </c>
      <c r="E30" s="16">
        <f>SUM($D$20:D30)</f>
        <v/>
      </c>
      <c r="F30" s="19">
        <f>IF(C30=0,"",IFERROR(ROUND(SUMIFS(Libros!$K$7:$K$46,Libros!$Q$7:$Q$46,$C$9,Libros!$R$7:$R$46,11)/COUNTIFS(Libros!$Q$7:$Q$46,$C$9,Libros!$R$7:$R$46,11,Libros!$K$7:$K$46,"&gt;0"),1),""))</f>
        <v/>
      </c>
    </row>
    <row r="31">
      <c r="B31" s="23" t="inlineStr">
        <is>
          <t>Diciembre</t>
        </is>
      </c>
      <c r="C31" s="16">
        <f>COUNTIFS(Libros!$Q$7:$Q$46,$C$9,Libros!$R$7:$R$46,12)</f>
        <v/>
      </c>
      <c r="D31" s="16">
        <f>SUMIFS(Libros!$F$7:$F$46,Libros!$Q$7:$Q$46,$C$9,Libros!$R$7:$R$46,12)</f>
        <v/>
      </c>
      <c r="E31" s="16">
        <f>SUM($D$20:D31)</f>
        <v/>
      </c>
      <c r="F31" s="19">
        <f>IF(C31=0,"",IFERROR(ROUND(SUMIFS(Libros!$K$7:$K$46,Libros!$Q$7:$Q$46,$C$9,Libros!$R$7:$R$46,12)/COUNTIFS(Libros!$Q$7:$Q$46,$C$9,Libros!$R$7:$R$46,12,Libros!$K$7:$K$46,"&gt;0"),1),""))</f>
        <v/>
      </c>
    </row>
    <row r="32">
      <c r="B32" s="24" t="inlineStr">
        <is>
          <t>Total del año</t>
        </is>
      </c>
      <c r="C32" s="25">
        <f>SUM(C20:C31)</f>
        <v/>
      </c>
      <c r="D32" s="25">
        <f>SUM(D20:D31)</f>
        <v/>
      </c>
      <c r="E32" s="25">
        <f>MAX(E20:E31)</f>
        <v/>
      </c>
      <c r="F32" s="26">
        <f>E6</f>
        <v/>
      </c>
    </row>
    <row r="34">
      <c r="B34" s="8" t="inlineStr">
        <is>
          <t>LIBROS POR AÑO</t>
        </is>
      </c>
    </row>
    <row r="35" ht="26" customHeight="1">
      <c r="B35" s="22" t="inlineStr">
        <is>
          <t>Año</t>
        </is>
      </c>
      <c r="C35" s="22" t="inlineStr">
        <is>
          <t>Libros</t>
        </is>
      </c>
      <c r="D35" s="22" t="inlineStr">
        <is>
          <t>Páginas</t>
        </is>
      </c>
      <c r="E35" s="22" t="inlineStr">
        <is>
          <t>Páginas por libro</t>
        </is>
      </c>
      <c r="F35" s="22" t="inlineStr">
        <is>
          <t>Valoración media</t>
        </is>
      </c>
    </row>
    <row r="36">
      <c r="B36" s="27">
        <f>$C$9-2</f>
        <v/>
      </c>
      <c r="C36" s="16">
        <f>COUNTIFS(Libros!$Q$7:$Q$46,B36)</f>
        <v/>
      </c>
      <c r="D36" s="16">
        <f>SUMIFS(Libros!$F$7:$F$46,Libros!$Q$7:$Q$46,B36)</f>
        <v/>
      </c>
      <c r="E36" s="16">
        <f>IF(C36=0,"",ROUND(D36/C36,0))</f>
        <v/>
      </c>
      <c r="F36" s="19">
        <f>IF(C36=0,"",IFERROR(ROUND(SUMIFS(Libros!$K$7:$K$46,Libros!$Q$7:$Q$46,B36)/COUNTIFS(Libros!$Q$7:$Q$46,B36,Libros!$K$7:$K$46,"&gt;0"),1),""))</f>
        <v/>
      </c>
    </row>
    <row r="37">
      <c r="B37" s="27">
        <f>$C$9-1</f>
        <v/>
      </c>
      <c r="C37" s="16">
        <f>COUNTIFS(Libros!$Q$7:$Q$46,B37)</f>
        <v/>
      </c>
      <c r="D37" s="16">
        <f>SUMIFS(Libros!$F$7:$F$46,Libros!$Q$7:$Q$46,B37)</f>
        <v/>
      </c>
      <c r="E37" s="16">
        <f>IF(C37=0,"",ROUND(D37/C37,0))</f>
        <v/>
      </c>
      <c r="F37" s="19">
        <f>IF(C37=0,"",IFERROR(ROUND(SUMIFS(Libros!$K$7:$K$46,Libros!$Q$7:$Q$46,B37)/COUNTIFS(Libros!$Q$7:$Q$46,B37,Libros!$K$7:$K$46,"&gt;0"),1),""))</f>
        <v/>
      </c>
    </row>
    <row r="38">
      <c r="B38" s="27">
        <f>$C$9-0</f>
        <v/>
      </c>
      <c r="C38" s="16">
        <f>COUNTIFS(Libros!$Q$7:$Q$46,B38)</f>
        <v/>
      </c>
      <c r="D38" s="16">
        <f>SUMIFS(Libros!$F$7:$F$46,Libros!$Q$7:$Q$46,B38)</f>
        <v/>
      </c>
      <c r="E38" s="16">
        <f>IF(C38=0,"",ROUND(D38/C38,0))</f>
        <v/>
      </c>
      <c r="F38" s="19">
        <f>IF(C38=0,"",IFERROR(ROUND(SUMIFS(Libros!$K$7:$K$46,Libros!$Q$7:$Q$46,B38)/COUNTIFS(Libros!$Q$7:$Q$46,B38,Libros!$K$7:$K$46,"&gt;0"),1),""))</f>
        <v/>
      </c>
    </row>
    <row r="41">
      <c r="B41" s="8" t="inlineStr">
        <is>
          <t>MEJOR VALORADOS DEL AÑO</t>
        </is>
      </c>
      <c r="H41" s="8" t="inlineStr">
        <is>
          <t>LEYENDO AHORA</t>
        </is>
      </c>
    </row>
    <row r="42" ht="26" customHeight="1">
      <c r="B42" s="22" t="inlineStr">
        <is>
          <t>Título</t>
        </is>
      </c>
      <c r="C42" s="22" t="inlineStr">
        <is>
          <t>Estrellas</t>
        </is>
      </c>
      <c r="D42" s="22" t="inlineStr">
        <is>
          <t>Páginas</t>
        </is>
      </c>
      <c r="E42" s="22" t="inlineStr">
        <is>
          <t>Autor/a</t>
        </is>
      </c>
      <c r="F42" s="22" t="inlineStr">
        <is>
          <t>Fila aux.</t>
        </is>
      </c>
      <c r="H42" s="22" t="inlineStr">
        <is>
          <t>Título</t>
        </is>
      </c>
      <c r="I42" s="22" t="inlineStr">
        <is>
          <t>Progreso</t>
        </is>
      </c>
      <c r="J42" s="22" t="inlineStr">
        <is>
          <t>Pág. leídas</t>
        </is>
      </c>
      <c r="K42" s="22" t="inlineStr">
        <is>
          <t>Páginas</t>
        </is>
      </c>
    </row>
    <row r="43">
      <c r="B43" s="13">
        <f>IF($F43="","",INDEX(Libros!$B$7:$B$46,$F43))</f>
        <v/>
      </c>
      <c r="C43" s="28">
        <f>IF($F43="","",INDEX(Libros!$N$7:$N$46,$F43))</f>
        <v/>
      </c>
      <c r="D43" s="16">
        <f>IF($F43="","",INDEX(Libros!$F$7:$F$46,$F43))</f>
        <v/>
      </c>
      <c r="E43" s="13">
        <f>IF($F43="","",INDEX(Libros!$C$7:$C$46,$F43))</f>
        <v/>
      </c>
      <c r="F43" s="29">
        <f>IFERROR(MATCH(LARGE(Libros!$T$7:$T$46,1),Libros!$T$7:$T$46,0),"")</f>
        <v/>
      </c>
      <c r="H43" s="13">
        <f>IF($L43="","",INDEX(Libros!$B$7:$B$46,$L43))</f>
        <v/>
      </c>
      <c r="I43" s="30">
        <f>IF($L43="","",INDEX(Libros!$M$7:$M$46,$L43))</f>
        <v/>
      </c>
      <c r="J43" s="16">
        <f>IF($L43="","",INDEX(Libros!$H$7:$H$46,$L43))</f>
        <v/>
      </c>
      <c r="K43" s="16">
        <f>IF($L43="","",INDEX(Libros!$F$7:$F$46,$L43))</f>
        <v/>
      </c>
      <c r="L43" s="29">
        <f>IFERROR(SMALL(Libros!$U$7:$U$46,1),"")</f>
        <v/>
      </c>
    </row>
    <row r="44">
      <c r="B44" s="13">
        <f>IF($F44="","",INDEX(Libros!$B$7:$B$46,$F44))</f>
        <v/>
      </c>
      <c r="C44" s="28">
        <f>IF($F44="","",INDEX(Libros!$N$7:$N$46,$F44))</f>
        <v/>
      </c>
      <c r="D44" s="16">
        <f>IF($F44="","",INDEX(Libros!$F$7:$F$46,$F44))</f>
        <v/>
      </c>
      <c r="E44" s="13">
        <f>IF($F44="","",INDEX(Libros!$C$7:$C$46,$F44))</f>
        <v/>
      </c>
      <c r="F44" s="29">
        <f>IFERROR(MATCH(LARGE(Libros!$T$7:$T$46,2),Libros!$T$7:$T$46,0),"")</f>
        <v/>
      </c>
      <c r="H44" s="13">
        <f>IF($L44="","",INDEX(Libros!$B$7:$B$46,$L44))</f>
        <v/>
      </c>
      <c r="I44" s="30">
        <f>IF($L44="","",INDEX(Libros!$M$7:$M$46,$L44))</f>
        <v/>
      </c>
      <c r="J44" s="16">
        <f>IF($L44="","",INDEX(Libros!$H$7:$H$46,$L44))</f>
        <v/>
      </c>
      <c r="K44" s="16">
        <f>IF($L44="","",INDEX(Libros!$F$7:$F$46,$L44))</f>
        <v/>
      </c>
      <c r="L44" s="29">
        <f>IFERROR(SMALL(Libros!$U$7:$U$46,2),"")</f>
        <v/>
      </c>
    </row>
    <row r="45">
      <c r="B45" s="13">
        <f>IF($F45="","",INDEX(Libros!$B$7:$B$46,$F45))</f>
        <v/>
      </c>
      <c r="C45" s="28">
        <f>IF($F45="","",INDEX(Libros!$N$7:$N$46,$F45))</f>
        <v/>
      </c>
      <c r="D45" s="16">
        <f>IF($F45="","",INDEX(Libros!$F$7:$F$46,$F45))</f>
        <v/>
      </c>
      <c r="E45" s="13">
        <f>IF($F45="","",INDEX(Libros!$C$7:$C$46,$F45))</f>
        <v/>
      </c>
      <c r="F45" s="29">
        <f>IFERROR(MATCH(LARGE(Libros!$T$7:$T$46,3),Libros!$T$7:$T$46,0),"")</f>
        <v/>
      </c>
      <c r="H45" s="13">
        <f>IF($L45="","",INDEX(Libros!$B$7:$B$46,$L45))</f>
        <v/>
      </c>
      <c r="I45" s="30">
        <f>IF($L45="","",INDEX(Libros!$M$7:$M$46,$L45))</f>
        <v/>
      </c>
      <c r="J45" s="16">
        <f>IF($L45="","",INDEX(Libros!$H$7:$H$46,$L45))</f>
        <v/>
      </c>
      <c r="K45" s="16">
        <f>IF($L45="","",INDEX(Libros!$F$7:$F$46,$L45))</f>
        <v/>
      </c>
      <c r="L45" s="29">
        <f>IFERROR(SMALL(Libros!$U$7:$U$46,3),"")</f>
        <v/>
      </c>
    </row>
    <row r="46">
      <c r="B46" s="13">
        <f>IF($F46="","",INDEX(Libros!$B$7:$B$46,$F46))</f>
        <v/>
      </c>
      <c r="C46" s="28">
        <f>IF($F46="","",INDEX(Libros!$N$7:$N$46,$F46))</f>
        <v/>
      </c>
      <c r="D46" s="16">
        <f>IF($F46="","",INDEX(Libros!$F$7:$F$46,$F46))</f>
        <v/>
      </c>
      <c r="E46" s="13">
        <f>IF($F46="","",INDEX(Libros!$C$7:$C$46,$F46))</f>
        <v/>
      </c>
      <c r="F46" s="29">
        <f>IFERROR(MATCH(LARGE(Libros!$T$7:$T$46,4),Libros!$T$7:$T$46,0),"")</f>
        <v/>
      </c>
      <c r="H46" s="13">
        <f>IF($L46="","",INDEX(Libros!$B$7:$B$46,$L46))</f>
        <v/>
      </c>
      <c r="I46" s="30">
        <f>IF($L46="","",INDEX(Libros!$M$7:$M$46,$L46))</f>
        <v/>
      </c>
      <c r="J46" s="16">
        <f>IF($L46="","",INDEX(Libros!$H$7:$H$46,$L46))</f>
        <v/>
      </c>
      <c r="K46" s="16">
        <f>IF($L46="","",INDEX(Libros!$F$7:$F$46,$L46))</f>
        <v/>
      </c>
      <c r="L46" s="29">
        <f>IFERROR(SMALL(Libros!$U$7:$U$46,4),"")</f>
        <v/>
      </c>
    </row>
    <row r="47">
      <c r="B47" s="13">
        <f>IF($F47="","",INDEX(Libros!$B$7:$B$46,$F47))</f>
        <v/>
      </c>
      <c r="C47" s="28">
        <f>IF($F47="","",INDEX(Libros!$N$7:$N$46,$F47))</f>
        <v/>
      </c>
      <c r="D47" s="16">
        <f>IF($F47="","",INDEX(Libros!$F$7:$F$46,$F47))</f>
        <v/>
      </c>
      <c r="E47" s="13">
        <f>IF($F47="","",INDEX(Libros!$C$7:$C$46,$F47))</f>
        <v/>
      </c>
      <c r="F47" s="29">
        <f>IFERROR(MATCH(LARGE(Libros!$T$7:$T$46,5),Libros!$T$7:$T$46,0),"")</f>
        <v/>
      </c>
      <c r="H47" s="13">
        <f>IF($L47="","",INDEX(Libros!$B$7:$B$46,$L47))</f>
        <v/>
      </c>
      <c r="I47" s="30">
        <f>IF($L47="","",INDEX(Libros!$M$7:$M$46,$L47))</f>
        <v/>
      </c>
      <c r="J47" s="16">
        <f>IF($L47="","",INDEX(Libros!$H$7:$H$46,$L47))</f>
        <v/>
      </c>
      <c r="K47" s="16">
        <f>IF($L47="","",INDEX(Libros!$F$7:$F$46,$L47))</f>
        <v/>
      </c>
      <c r="L47" s="29">
        <f>IFERROR(SMALL(Libros!$U$7:$U$46,5),"")</f>
        <v/>
      </c>
    </row>
    <row r="49">
      <c r="B49" s="20" t="inlineStr">
        <is>
          <t>Los mejor valorados salen del año del objetivo; a igualdad de estrellas, primero el libro con más páginas.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F14">
    <cfRule type="cellIs" priority="1" operator="equal" dxfId="0">
      <formula>"Por delante"</formula>
    </cfRule>
    <cfRule type="cellIs" priority="2" operator="equal" dxfId="1">
      <formula>"Por detrás"</formula>
    </cfRule>
  </conditionalFormatting>
  <conditionalFormatting sqref="D20:D31">
    <cfRule type="dataBar" priority="3">
      <dataBar>
        <cfvo type="num" val="0"/>
        <cfvo type="max"/>
        <color rgb="0010B981"/>
      </dataBar>
    </cfRule>
  </conditionalFormatting>
  <conditionalFormatting sqref="I20:I27">
    <cfRule type="dataBar" priority="4">
      <dataBar>
        <cfvo type="num" val="0"/>
        <cfvo type="max"/>
        <color rgb="0010B981"/>
      </dataBar>
    </cfRule>
  </conditionalFormatting>
  <conditionalFormatting sqref="C36:C38">
    <cfRule type="dataBar" priority="5">
      <dataBar>
        <cfvo type="num" val="0"/>
        <cfvo type="max"/>
        <color rgb="0010B981"/>
      </dataBar>
    </cfRule>
  </conditionalFormatting>
  <conditionalFormatting sqref="I43:I47">
    <cfRule type="dataBar" priority="6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U49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4" customWidth="1" min="2" max="2"/>
    <col width="26" customWidth="1" min="3" max="3"/>
    <col width="20" customWidth="1" min="4" max="4"/>
    <col width="12" customWidth="1" min="5" max="5"/>
    <col width="9" customWidth="1" min="6" max="6"/>
    <col width="13" customWidth="1" min="7" max="7"/>
    <col width="10" customWidth="1" min="8" max="8"/>
    <col width="12" customWidth="1" min="9" max="9"/>
    <col width="12" customWidth="1" min="10" max="10"/>
    <col width="11" customWidth="1" min="11" max="11"/>
    <col width="38" customWidth="1" min="12" max="12"/>
    <col width="11" customWidth="1" min="13" max="13"/>
    <col width="12" customWidth="1" min="14" max="14"/>
    <col width="10" customWidth="1" min="15" max="15"/>
    <col width="10" customWidth="1" min="16" max="16"/>
    <col width="8" customWidth="1" min="17" max="17"/>
    <col width="8" customWidth="1" min="18" max="18"/>
    <col width="20" customWidth="1" min="19" max="19"/>
    <col width="8" customWidth="1" min="20" max="20"/>
    <col width="7" customWidth="1" min="21" max="21"/>
  </cols>
  <sheetData>
    <row r="2" ht="34" customHeight="1">
      <c r="B2" s="1" t="inlineStr">
        <is>
          <t>Registro de lectura de libros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</row>
    <row r="3">
      <c r="B3" s="3" t="inlineStr">
        <is>
          <t>Una fila por libro. Rellena las celdas crema; progreso, estrellas, días y avisos se calculan solos.</t>
        </is>
      </c>
    </row>
    <row r="6" ht="34" customHeight="1">
      <c r="B6" s="22" t="inlineStr">
        <is>
          <t>Título</t>
        </is>
      </c>
      <c r="C6" s="22" t="inlineStr">
        <is>
          <t>Autor/a</t>
        </is>
      </c>
      <c r="D6" s="22" t="inlineStr">
        <is>
          <t>Género</t>
        </is>
      </c>
      <c r="E6" s="22" t="inlineStr">
        <is>
          <t>Formato</t>
        </is>
      </c>
      <c r="F6" s="22" t="inlineStr">
        <is>
          <t>Páginas</t>
        </is>
      </c>
      <c r="G6" s="22" t="inlineStr">
        <is>
          <t>Estado</t>
        </is>
      </c>
      <c r="H6" s="22" t="inlineStr">
        <is>
          <t>Pág. leídas</t>
        </is>
      </c>
      <c r="I6" s="22" t="inlineStr">
        <is>
          <t>Inicio</t>
        </is>
      </c>
      <c r="J6" s="22" t="inlineStr">
        <is>
          <t>Fin</t>
        </is>
      </c>
      <c r="K6" s="22" t="inlineStr">
        <is>
          <t>Valoración (1-5)</t>
        </is>
      </c>
      <c r="L6" s="22" t="inlineStr">
        <is>
          <t>Notas / reseña corta</t>
        </is>
      </c>
      <c r="M6" s="22" t="inlineStr">
        <is>
          <t>Progreso</t>
        </is>
      </c>
      <c r="N6" s="22" t="inlineStr">
        <is>
          <t>Estrellas</t>
        </is>
      </c>
      <c r="O6" s="22" t="inlineStr">
        <is>
          <t>Días de lectura</t>
        </is>
      </c>
      <c r="P6" s="22" t="inlineStr">
        <is>
          <t>Págs / día</t>
        </is>
      </c>
      <c r="Q6" s="22" t="inlineStr">
        <is>
          <t>Año fin</t>
        </is>
      </c>
      <c r="R6" s="22" t="inlineStr">
        <is>
          <t>Mes fin</t>
        </is>
      </c>
      <c r="S6" s="22" t="inlineStr">
        <is>
          <t>Aviso</t>
        </is>
      </c>
      <c r="T6" s="22" t="inlineStr">
        <is>
          <t>Orden aux.</t>
        </is>
      </c>
      <c r="U6" s="22" t="inlineStr">
        <is>
          <t>Leyendo aux.</t>
        </is>
      </c>
    </row>
    <row r="7" ht="20" customHeight="1">
      <c r="B7" s="31" t="inlineStr">
        <is>
          <t>Sapiens</t>
        </is>
      </c>
      <c r="C7" s="31" t="inlineStr">
        <is>
          <t>Yuval Noah Harari</t>
        </is>
      </c>
      <c r="D7" s="31" t="inlineStr">
        <is>
          <t>Historia y biografía</t>
        </is>
      </c>
      <c r="E7" s="32" t="inlineStr">
        <is>
          <t>Papel</t>
        </is>
      </c>
      <c r="F7" s="14" t="n">
        <v>496</v>
      </c>
      <c r="G7" s="32" t="inlineStr">
        <is>
          <t>Terminado</t>
        </is>
      </c>
      <c r="H7" s="14" t="n"/>
      <c r="I7" s="17" t="n">
        <v>45600</v>
      </c>
      <c r="J7" s="17" t="n">
        <v>45628</v>
      </c>
      <c r="K7" s="10" t="n">
        <v>5</v>
      </c>
      <c r="L7" s="31" t="inlineStr">
        <is>
          <t>Muy buena visión global; el capítulo sobre agricultura engancha.</t>
        </is>
      </c>
      <c r="M7" s="30">
        <f>IF(B7="","",IF(G7="Terminado",1,IF(OR(F7="",H7=""),0,MIN(1,H7/F7))))</f>
        <v/>
      </c>
      <c r="N7" s="28">
        <f>IF(OR(B7="",K7=""),"",REPT("★",K7)&amp;REPT("☆",5-K7))</f>
        <v/>
      </c>
      <c r="O7" s="33">
        <f>IF(OR(I7="",J7=""),"",IF(J7&lt;I7,"",J7-I7+1))</f>
        <v/>
      </c>
      <c r="P7" s="19">
        <f>IF(OR(O7="",F7=""),"",ROUND(F7/O7,1))</f>
        <v/>
      </c>
      <c r="Q7" s="33">
        <f>IF(AND(G7="Terminado",J7&lt;&gt;""),YEAR(J7),"")</f>
        <v/>
      </c>
      <c r="R7" s="33">
        <f>IF(AND(G7="Terminado",J7&lt;&gt;""),MONTH(J7),"")</f>
        <v/>
      </c>
      <c r="S7" s="28">
        <f>IF(B7="","",IF(AND(G7="Terminado",J7=""),"Falta fecha fin",IF(AND(I7&lt;&gt;"",J7&lt;&gt;"",J7&lt;I7),"Fechas incoherentes",IF(AND(G7="Terminado",K7=""),"Sin valorar",IF(AND(G7="Leyendo",I7=""),"Falta fecha inicio","OK")))))</f>
        <v/>
      </c>
      <c r="T7" s="34">
        <f>IF(AND(G7="Terminado",K7&lt;&gt;"",Q7=Panel!$C$9),K7+F7/100000+ROW()/10000000000,"")</f>
        <v/>
      </c>
      <c r="U7" s="29">
        <f>IF(AND(B7&lt;&gt;"",G7="Leyendo"),ROW()-6,"")</f>
        <v/>
      </c>
    </row>
    <row r="8" ht="20" customHeight="1">
      <c r="B8" s="31" t="inlineStr">
        <is>
          <t>La sombra del viento</t>
        </is>
      </c>
      <c r="C8" s="31" t="inlineStr">
        <is>
          <t>Carlos Ruiz Zafón</t>
        </is>
      </c>
      <c r="D8" s="31" t="inlineStr">
        <is>
          <t>Novela</t>
        </is>
      </c>
      <c r="E8" s="32" t="inlineStr">
        <is>
          <t>Papel</t>
        </is>
      </c>
      <c r="F8" s="14" t="n">
        <v>576</v>
      </c>
      <c r="G8" s="32" t="inlineStr">
        <is>
          <t>Terminado</t>
        </is>
      </c>
      <c r="H8" s="14" t="n"/>
      <c r="I8" s="17" t="n">
        <v>45691</v>
      </c>
      <c r="J8" s="17" t="n">
        <v>45710</v>
      </c>
      <c r="K8" s="10" t="n">
        <v>5</v>
      </c>
      <c r="L8" s="31" t="inlineStr">
        <is>
          <t>Barcelona de posguerra y misterio; me lo devoré en tres semanas.</t>
        </is>
      </c>
      <c r="M8" s="30">
        <f>IF(B8="","",IF(G8="Terminado",1,IF(OR(F8="",H8=""),0,MIN(1,H8/F8))))</f>
        <v/>
      </c>
      <c r="N8" s="28">
        <f>IF(OR(B8="",K8=""),"",REPT("★",K8)&amp;REPT("☆",5-K8))</f>
        <v/>
      </c>
      <c r="O8" s="33">
        <f>IF(OR(I8="",J8=""),"",IF(J8&lt;I8,"",J8-I8+1))</f>
        <v/>
      </c>
      <c r="P8" s="19">
        <f>IF(OR(O8="",F8=""),"",ROUND(F8/O8,1))</f>
        <v/>
      </c>
      <c r="Q8" s="33">
        <f>IF(AND(G8="Terminado",J8&lt;&gt;""),YEAR(J8),"")</f>
        <v/>
      </c>
      <c r="R8" s="33">
        <f>IF(AND(G8="Terminado",J8&lt;&gt;""),MONTH(J8),"")</f>
        <v/>
      </c>
      <c r="S8" s="28">
        <f>IF(B8="","",IF(AND(G8="Terminado",J8=""),"Falta fecha fin",IF(AND(I8&lt;&gt;"",J8&lt;&gt;"",J8&lt;I8),"Fechas incoherentes",IF(AND(G8="Terminado",K8=""),"Sin valorar",IF(AND(G8="Leyendo",I8=""),"Falta fecha inicio","OK")))))</f>
        <v/>
      </c>
      <c r="T8" s="34">
        <f>IF(AND(G8="Terminado",K8&lt;&gt;"",Q8=Panel!$C$9),K8+F8/100000+ROW()/10000000000,"")</f>
        <v/>
      </c>
      <c r="U8" s="29">
        <f>IF(AND(B8&lt;&gt;"",G8="Leyendo"),ROW()-6,"")</f>
        <v/>
      </c>
    </row>
    <row r="9" ht="20" customHeight="1">
      <c r="B9" s="31" t="inlineStr">
        <is>
          <t>Hábitos atómicos</t>
        </is>
      </c>
      <c r="C9" s="31" t="inlineStr">
        <is>
          <t>James Clear</t>
        </is>
      </c>
      <c r="D9" s="31" t="inlineStr">
        <is>
          <t>Desarrollo personal</t>
        </is>
      </c>
      <c r="E9" s="32" t="inlineStr">
        <is>
          <t>Ebook</t>
        </is>
      </c>
      <c r="F9" s="14" t="n">
        <v>320</v>
      </c>
      <c r="G9" s="32" t="inlineStr">
        <is>
          <t>Terminado</t>
        </is>
      </c>
      <c r="H9" s="14" t="n"/>
      <c r="I9" s="17" t="n">
        <v>45818</v>
      </c>
      <c r="J9" s="17" t="n">
        <v>45832</v>
      </c>
      <c r="K9" s="10" t="n">
        <v>4</v>
      </c>
      <c r="L9" s="31" t="inlineStr">
        <is>
          <t>Útil el sistema de pequeños cambios; algo repetitivo.</t>
        </is>
      </c>
      <c r="M9" s="30">
        <f>IF(B9="","",IF(G9="Terminado",1,IF(OR(F9="",H9=""),0,MIN(1,H9/F9))))</f>
        <v/>
      </c>
      <c r="N9" s="28">
        <f>IF(OR(B9="",K9=""),"",REPT("★",K9)&amp;REPT("☆",5-K9))</f>
        <v/>
      </c>
      <c r="O9" s="33">
        <f>IF(OR(I9="",J9=""),"",IF(J9&lt;I9,"",J9-I9+1))</f>
        <v/>
      </c>
      <c r="P9" s="19">
        <f>IF(OR(O9="",F9=""),"",ROUND(F9/O9,1))</f>
        <v/>
      </c>
      <c r="Q9" s="33">
        <f>IF(AND(G9="Terminado",J9&lt;&gt;""),YEAR(J9),"")</f>
        <v/>
      </c>
      <c r="R9" s="33">
        <f>IF(AND(G9="Terminado",J9&lt;&gt;""),MONTH(J9),"")</f>
        <v/>
      </c>
      <c r="S9" s="28">
        <f>IF(B9="","",IF(AND(G9="Terminado",J9=""),"Falta fecha fin",IF(AND(I9&lt;&gt;"",J9&lt;&gt;"",J9&lt;I9),"Fechas incoherentes",IF(AND(G9="Terminado",K9=""),"Sin valorar",IF(AND(G9="Leyendo",I9=""),"Falta fecha inicio","OK")))))</f>
        <v/>
      </c>
      <c r="T9" s="34">
        <f>IF(AND(G9="Terminado",K9&lt;&gt;"",Q9=Panel!$C$9),K9+F9/100000+ROW()/10000000000,"")</f>
        <v/>
      </c>
      <c r="U9" s="29">
        <f>IF(AND(B9&lt;&gt;"",G9="Leyendo"),ROW()-6,"")</f>
        <v/>
      </c>
    </row>
    <row r="10" ht="20" customHeight="1">
      <c r="B10" s="31" t="inlineStr">
        <is>
          <t>Dune</t>
        </is>
      </c>
      <c r="C10" s="31" t="inlineStr">
        <is>
          <t>Frank Herbert</t>
        </is>
      </c>
      <c r="D10" s="31" t="inlineStr">
        <is>
          <t>Ciencia ficción</t>
        </is>
      </c>
      <c r="E10" s="32" t="inlineStr">
        <is>
          <t>Papel</t>
        </is>
      </c>
      <c r="F10" s="14" t="n">
        <v>704</v>
      </c>
      <c r="G10" s="32" t="inlineStr">
        <is>
          <t>Terminado</t>
        </is>
      </c>
      <c r="H10" s="14" t="n"/>
      <c r="I10" s="17" t="n">
        <v>46027</v>
      </c>
      <c r="J10" s="17" t="n">
        <v>46054</v>
      </c>
      <c r="K10" s="10" t="n">
        <v>5</v>
      </c>
      <c r="L10" s="31" t="inlineStr">
        <is>
          <t>Mundo enorme y muy bien construido. Releeré el apéndice.</t>
        </is>
      </c>
      <c r="M10" s="30">
        <f>IF(B10="","",IF(G10="Terminado",1,IF(OR(F10="",H10=""),0,MIN(1,H10/F10))))</f>
        <v/>
      </c>
      <c r="N10" s="28">
        <f>IF(OR(B10="",K10=""),"",REPT("★",K10)&amp;REPT("☆",5-K10))</f>
        <v/>
      </c>
      <c r="O10" s="33">
        <f>IF(OR(I10="",J10=""),"",IF(J10&lt;I10,"",J10-I10+1))</f>
        <v/>
      </c>
      <c r="P10" s="19">
        <f>IF(OR(O10="",F10=""),"",ROUND(F10/O10,1))</f>
        <v/>
      </c>
      <c r="Q10" s="33">
        <f>IF(AND(G10="Terminado",J10&lt;&gt;""),YEAR(J10),"")</f>
        <v/>
      </c>
      <c r="R10" s="33">
        <f>IF(AND(G10="Terminado",J10&lt;&gt;""),MONTH(J10),"")</f>
        <v/>
      </c>
      <c r="S10" s="28">
        <f>IF(B10="","",IF(AND(G10="Terminado",J10=""),"Falta fecha fin",IF(AND(I10&lt;&gt;"",J10&lt;&gt;"",J10&lt;I10),"Fechas incoherentes",IF(AND(G10="Terminado",K10=""),"Sin valorar",IF(AND(G10="Leyendo",I10=""),"Falta fecha inicio","OK")))))</f>
        <v/>
      </c>
      <c r="T10" s="34">
        <f>IF(AND(G10="Terminado",K10&lt;&gt;"",Q10=Panel!$C$9),K10+F10/100000+ROW()/10000000000,"")</f>
        <v/>
      </c>
      <c r="U10" s="29">
        <f>IF(AND(B10&lt;&gt;"",G10="Leyendo"),ROW()-6,"")</f>
        <v/>
      </c>
    </row>
    <row r="11" ht="20" customHeight="1">
      <c r="B11" s="31" t="inlineStr">
        <is>
          <t>Los hombres que no amaban a las mujeres</t>
        </is>
      </c>
      <c r="C11" s="31" t="inlineStr">
        <is>
          <t>Stieg Larsson</t>
        </is>
      </c>
      <c r="D11" s="31" t="inlineStr">
        <is>
          <t>Misterio y thriller</t>
        </is>
      </c>
      <c r="E11" s="32" t="inlineStr">
        <is>
          <t>Ebook</t>
        </is>
      </c>
      <c r="F11" s="14" t="n">
        <v>672</v>
      </c>
      <c r="G11" s="32" t="inlineStr">
        <is>
          <t>Terminado</t>
        </is>
      </c>
      <c r="H11" s="14" t="n"/>
      <c r="I11" s="17" t="n">
        <v>46056</v>
      </c>
      <c r="J11" s="17" t="n">
        <v>46073</v>
      </c>
      <c r="K11" s="10" t="n">
        <v>4</v>
      </c>
      <c r="L11" s="31" t="inlineStr">
        <is>
          <t>Arranque lento, pero la segunda mitad no se puede soltar.</t>
        </is>
      </c>
      <c r="M11" s="30">
        <f>IF(B11="","",IF(G11="Terminado",1,IF(OR(F11="",H11=""),0,MIN(1,H11/F11))))</f>
        <v/>
      </c>
      <c r="N11" s="28">
        <f>IF(OR(B11="",K11=""),"",REPT("★",K11)&amp;REPT("☆",5-K11))</f>
        <v/>
      </c>
      <c r="O11" s="33">
        <f>IF(OR(I11="",J11=""),"",IF(J11&lt;I11,"",J11-I11+1))</f>
        <v/>
      </c>
      <c r="P11" s="19">
        <f>IF(OR(O11="",F11=""),"",ROUND(F11/O11,1))</f>
        <v/>
      </c>
      <c r="Q11" s="33">
        <f>IF(AND(G11="Terminado",J11&lt;&gt;""),YEAR(J11),"")</f>
        <v/>
      </c>
      <c r="R11" s="33">
        <f>IF(AND(G11="Terminado",J11&lt;&gt;""),MONTH(J11),"")</f>
        <v/>
      </c>
      <c r="S11" s="28">
        <f>IF(B11="","",IF(AND(G11="Terminado",J11=""),"Falta fecha fin",IF(AND(I11&lt;&gt;"",J11&lt;&gt;"",J11&lt;I11),"Fechas incoherentes",IF(AND(G11="Terminado",K11=""),"Sin valorar",IF(AND(G11="Leyendo",I11=""),"Falta fecha inicio","OK")))))</f>
        <v/>
      </c>
      <c r="T11" s="34">
        <f>IF(AND(G11="Terminado",K11&lt;&gt;"",Q11=Panel!$C$9),K11+F11/100000+ROW()/10000000000,"")</f>
        <v/>
      </c>
      <c r="U11" s="29">
        <f>IF(AND(B11&lt;&gt;"",G11="Leyendo"),ROW()-6,"")</f>
        <v/>
      </c>
    </row>
    <row r="12" ht="20" customHeight="1">
      <c r="B12" s="31" t="inlineStr">
        <is>
          <t>El cuento de la criada</t>
        </is>
      </c>
      <c r="C12" s="31" t="inlineStr">
        <is>
          <t>Margaret Atwood</t>
        </is>
      </c>
      <c r="D12" s="31" t="inlineStr">
        <is>
          <t>Novela</t>
        </is>
      </c>
      <c r="E12" s="32" t="inlineStr">
        <is>
          <t>Papel</t>
        </is>
      </c>
      <c r="F12" s="14" t="n">
        <v>400</v>
      </c>
      <c r="G12" s="32" t="inlineStr">
        <is>
          <t>Terminado</t>
        </is>
      </c>
      <c r="H12" s="14" t="n"/>
      <c r="I12" s="17" t="n">
        <v>46075</v>
      </c>
      <c r="J12" s="17" t="n">
        <v>46088</v>
      </c>
      <c r="K12" s="10" t="n">
        <v>4</v>
      </c>
      <c r="L12" s="31" t="inlineStr">
        <is>
          <t>Inquietante y actual; final abierto.</t>
        </is>
      </c>
      <c r="M12" s="30">
        <f>IF(B12="","",IF(G12="Terminado",1,IF(OR(F12="",H12=""),0,MIN(1,H12/F12))))</f>
        <v/>
      </c>
      <c r="N12" s="28">
        <f>IF(OR(B12="",K12=""),"",REPT("★",K12)&amp;REPT("☆",5-K12))</f>
        <v/>
      </c>
      <c r="O12" s="33">
        <f>IF(OR(I12="",J12=""),"",IF(J12&lt;I12,"",J12-I12+1))</f>
        <v/>
      </c>
      <c r="P12" s="19">
        <f>IF(OR(O12="",F12=""),"",ROUND(F12/O12,1))</f>
        <v/>
      </c>
      <c r="Q12" s="33">
        <f>IF(AND(G12="Terminado",J12&lt;&gt;""),YEAR(J12),"")</f>
        <v/>
      </c>
      <c r="R12" s="33">
        <f>IF(AND(G12="Terminado",J12&lt;&gt;""),MONTH(J12),"")</f>
        <v/>
      </c>
      <c r="S12" s="28">
        <f>IF(B12="","",IF(AND(G12="Terminado",J12=""),"Falta fecha fin",IF(AND(I12&lt;&gt;"",J12&lt;&gt;"",J12&lt;I12),"Fechas incoherentes",IF(AND(G12="Terminado",K12=""),"Sin valorar",IF(AND(G12="Leyendo",I12=""),"Falta fecha inicio","OK")))))</f>
        <v/>
      </c>
      <c r="T12" s="34">
        <f>IF(AND(G12="Terminado",K12&lt;&gt;"",Q12=Panel!$C$9),K12+F12/100000+ROW()/10000000000,"")</f>
        <v/>
      </c>
      <c r="U12" s="29">
        <f>IF(AND(B12&lt;&gt;"",G12="Leyendo"),ROW()-6,"")</f>
        <v/>
      </c>
    </row>
    <row r="13" ht="20" customHeight="1">
      <c r="B13" s="31" t="inlineStr">
        <is>
          <t>Breve historia del tiempo</t>
        </is>
      </c>
      <c r="C13" s="31" t="inlineStr">
        <is>
          <t>Stephen Hawking</t>
        </is>
      </c>
      <c r="D13" s="31" t="inlineStr">
        <is>
          <t>Ensayo</t>
        </is>
      </c>
      <c r="E13" s="32" t="inlineStr">
        <is>
          <t>Papel</t>
        </is>
      </c>
      <c r="F13" s="14" t="n">
        <v>256</v>
      </c>
      <c r="G13" s="32" t="inlineStr">
        <is>
          <t>Terminado</t>
        </is>
      </c>
      <c r="H13" s="14" t="n"/>
      <c r="I13" s="17" t="n">
        <v>46091</v>
      </c>
      <c r="J13" s="17" t="n">
        <v>46102</v>
      </c>
      <c r="K13" s="10" t="n">
        <v>3</v>
      </c>
      <c r="L13" s="31" t="inlineStr">
        <is>
          <t>Interesante, aunque algunos capítulos se me hicieron cuesta arriba.</t>
        </is>
      </c>
      <c r="M13" s="30">
        <f>IF(B13="","",IF(G13="Terminado",1,IF(OR(F13="",H13=""),0,MIN(1,H13/F13))))</f>
        <v/>
      </c>
      <c r="N13" s="28">
        <f>IF(OR(B13="",K13=""),"",REPT("★",K13)&amp;REPT("☆",5-K13))</f>
        <v/>
      </c>
      <c r="O13" s="33">
        <f>IF(OR(I13="",J13=""),"",IF(J13&lt;I13,"",J13-I13+1))</f>
        <v/>
      </c>
      <c r="P13" s="19">
        <f>IF(OR(O13="",F13=""),"",ROUND(F13/O13,1))</f>
        <v/>
      </c>
      <c r="Q13" s="33">
        <f>IF(AND(G13="Terminado",J13&lt;&gt;""),YEAR(J13),"")</f>
        <v/>
      </c>
      <c r="R13" s="33">
        <f>IF(AND(G13="Terminado",J13&lt;&gt;""),MONTH(J13),"")</f>
        <v/>
      </c>
      <c r="S13" s="28">
        <f>IF(B13="","",IF(AND(G13="Terminado",J13=""),"Falta fecha fin",IF(AND(I13&lt;&gt;"",J13&lt;&gt;"",J13&lt;I13),"Fechas incoherentes",IF(AND(G13="Terminado",K13=""),"Sin valorar",IF(AND(G13="Leyendo",I13=""),"Falta fecha inicio","OK")))))</f>
        <v/>
      </c>
      <c r="T13" s="34">
        <f>IF(AND(G13="Terminado",K13&lt;&gt;"",Q13=Panel!$C$9),K13+F13/100000+ROW()/10000000000,"")</f>
        <v/>
      </c>
      <c r="U13" s="29">
        <f>IF(AND(B13&lt;&gt;"",G13="Leyendo"),ROW()-6,"")</f>
        <v/>
      </c>
    </row>
    <row r="14" ht="20" customHeight="1">
      <c r="B14" s="31" t="inlineStr">
        <is>
          <t>Cien años de soledad</t>
        </is>
      </c>
      <c r="C14" s="31" t="inlineStr">
        <is>
          <t>Gabriel García Márquez</t>
        </is>
      </c>
      <c r="D14" s="31" t="inlineStr">
        <is>
          <t>Novela</t>
        </is>
      </c>
      <c r="E14" s="32" t="inlineStr">
        <is>
          <t>Papel</t>
        </is>
      </c>
      <c r="F14" s="14" t="n">
        <v>496</v>
      </c>
      <c r="G14" s="32" t="inlineStr">
        <is>
          <t>Terminado</t>
        </is>
      </c>
      <c r="H14" s="14" t="n"/>
      <c r="I14" s="17" t="n">
        <v>46113</v>
      </c>
      <c r="J14" s="17" t="n">
        <v>46140</v>
      </c>
      <c r="K14" s="10" t="n">
        <v>5</v>
      </c>
      <c r="L14" s="31" t="inlineStr">
        <is>
          <t>Hay que apuntar el árbol genealógico para no perderse.</t>
        </is>
      </c>
      <c r="M14" s="30">
        <f>IF(B14="","",IF(G14="Terminado",1,IF(OR(F14="",H14=""),0,MIN(1,H14/F14))))</f>
        <v/>
      </c>
      <c r="N14" s="28">
        <f>IF(OR(B14="",K14=""),"",REPT("★",K14)&amp;REPT("☆",5-K14))</f>
        <v/>
      </c>
      <c r="O14" s="33">
        <f>IF(OR(I14="",J14=""),"",IF(J14&lt;I14,"",J14-I14+1))</f>
        <v/>
      </c>
      <c r="P14" s="19">
        <f>IF(OR(O14="",F14=""),"",ROUND(F14/O14,1))</f>
        <v/>
      </c>
      <c r="Q14" s="33">
        <f>IF(AND(G14="Terminado",J14&lt;&gt;""),YEAR(J14),"")</f>
        <v/>
      </c>
      <c r="R14" s="33">
        <f>IF(AND(G14="Terminado",J14&lt;&gt;""),MONTH(J14),"")</f>
        <v/>
      </c>
      <c r="S14" s="28">
        <f>IF(B14="","",IF(AND(G14="Terminado",J14=""),"Falta fecha fin",IF(AND(I14&lt;&gt;"",J14&lt;&gt;"",J14&lt;I14),"Fechas incoherentes",IF(AND(G14="Terminado",K14=""),"Sin valorar",IF(AND(G14="Leyendo",I14=""),"Falta fecha inicio","OK")))))</f>
        <v/>
      </c>
      <c r="T14" s="34">
        <f>IF(AND(G14="Terminado",K14&lt;&gt;"",Q14=Panel!$C$9),K14+F14/100000+ROW()/10000000000,"")</f>
        <v/>
      </c>
      <c r="U14" s="29">
        <f>IF(AND(B14&lt;&gt;"",G14="Leyendo"),ROW()-6,"")</f>
        <v/>
      </c>
    </row>
    <row r="15" ht="20" customHeight="1">
      <c r="B15" s="31" t="inlineStr">
        <is>
          <t>El problema de los tres cuerpos</t>
        </is>
      </c>
      <c r="C15" s="31" t="inlineStr">
        <is>
          <t>Liu Cixin</t>
        </is>
      </c>
      <c r="D15" s="31" t="inlineStr">
        <is>
          <t>Ciencia ficción</t>
        </is>
      </c>
      <c r="E15" s="32" t="inlineStr">
        <is>
          <t>Ebook</t>
        </is>
      </c>
      <c r="F15" s="14" t="n">
        <v>448</v>
      </c>
      <c r="G15" s="32" t="inlineStr">
        <is>
          <t>Terminado</t>
        </is>
      </c>
      <c r="H15" s="14" t="n"/>
      <c r="I15" s="17" t="n">
        <v>46144</v>
      </c>
      <c r="J15" s="17" t="n">
        <v>46166</v>
      </c>
      <c r="K15" s="10" t="n">
        <v>4</v>
      </c>
      <c r="L15" s="31" t="inlineStr">
        <is>
          <t>Ciencia dura con mucha idea; los personajes, flojos.</t>
        </is>
      </c>
      <c r="M15" s="30">
        <f>IF(B15="","",IF(G15="Terminado",1,IF(OR(F15="",H15=""),0,MIN(1,H15/F15))))</f>
        <v/>
      </c>
      <c r="N15" s="28">
        <f>IF(OR(B15="",K15=""),"",REPT("★",K15)&amp;REPT("☆",5-K15))</f>
        <v/>
      </c>
      <c r="O15" s="33">
        <f>IF(OR(I15="",J15=""),"",IF(J15&lt;I15,"",J15-I15+1))</f>
        <v/>
      </c>
      <c r="P15" s="19">
        <f>IF(OR(O15="",F15=""),"",ROUND(F15/O15,1))</f>
        <v/>
      </c>
      <c r="Q15" s="33">
        <f>IF(AND(G15="Terminado",J15&lt;&gt;""),YEAR(J15),"")</f>
        <v/>
      </c>
      <c r="R15" s="33">
        <f>IF(AND(G15="Terminado",J15&lt;&gt;""),MONTH(J15),"")</f>
        <v/>
      </c>
      <c r="S15" s="28">
        <f>IF(B15="","",IF(AND(G15="Terminado",J15=""),"Falta fecha fin",IF(AND(I15&lt;&gt;"",J15&lt;&gt;"",J15&lt;I15),"Fechas incoherentes",IF(AND(G15="Terminado",K15=""),"Sin valorar",IF(AND(G15="Leyendo",I15=""),"Falta fecha inicio","OK")))))</f>
        <v/>
      </c>
      <c r="T15" s="34">
        <f>IF(AND(G15="Terminado",K15&lt;&gt;"",Q15=Panel!$C$9),K15+F15/100000+ROW()/10000000000,"")</f>
        <v/>
      </c>
      <c r="U15" s="29">
        <f>IF(AND(B15&lt;&gt;"",G15="Leyendo"),ROW()-6,"")</f>
        <v/>
      </c>
    </row>
    <row r="16" ht="20" customHeight="1">
      <c r="B16" s="31" t="inlineStr">
        <is>
          <t>Pensar rápido, pensar despacio</t>
        </is>
      </c>
      <c r="C16" s="31" t="inlineStr">
        <is>
          <t>Daniel Kahneman</t>
        </is>
      </c>
      <c r="D16" s="31" t="inlineStr">
        <is>
          <t>Ensayo</t>
        </is>
      </c>
      <c r="E16" s="32" t="inlineStr">
        <is>
          <t>Audiolibro</t>
        </is>
      </c>
      <c r="F16" s="14" t="n">
        <v>656</v>
      </c>
      <c r="G16" s="32" t="inlineStr">
        <is>
          <t>Terminado</t>
        </is>
      </c>
      <c r="H16" s="14" t="n"/>
      <c r="I16" s="17" t="n">
        <v>46174</v>
      </c>
      <c r="J16" s="17" t="n">
        <v>46215</v>
      </c>
      <c r="K16" s="10" t="n">
        <v>4</v>
      </c>
      <c r="L16" s="31" t="inlineStr">
        <is>
          <t>En audiolibro, dos capítulos al día durante el paseo.</t>
        </is>
      </c>
      <c r="M16" s="30">
        <f>IF(B16="","",IF(G16="Terminado",1,IF(OR(F16="",H16=""),0,MIN(1,H16/F16))))</f>
        <v/>
      </c>
      <c r="N16" s="28">
        <f>IF(OR(B16="",K16=""),"",REPT("★",K16)&amp;REPT("☆",5-K16))</f>
        <v/>
      </c>
      <c r="O16" s="33">
        <f>IF(OR(I16="",J16=""),"",IF(J16&lt;I16,"",J16-I16+1))</f>
        <v/>
      </c>
      <c r="P16" s="19">
        <f>IF(OR(O16="",F16=""),"",ROUND(F16/O16,1))</f>
        <v/>
      </c>
      <c r="Q16" s="33">
        <f>IF(AND(G16="Terminado",J16&lt;&gt;""),YEAR(J16),"")</f>
        <v/>
      </c>
      <c r="R16" s="33">
        <f>IF(AND(G16="Terminado",J16&lt;&gt;""),MONTH(J16),"")</f>
        <v/>
      </c>
      <c r="S16" s="28">
        <f>IF(B16="","",IF(AND(G16="Terminado",J16=""),"Falta fecha fin",IF(AND(I16&lt;&gt;"",J16&lt;&gt;"",J16&lt;I16),"Fechas incoherentes",IF(AND(G16="Terminado",K16=""),"Sin valorar",IF(AND(G16="Leyendo",I16=""),"Falta fecha inicio","OK")))))</f>
        <v/>
      </c>
      <c r="T16" s="34">
        <f>IF(AND(G16="Terminado",K16&lt;&gt;"",Q16=Panel!$C$9),K16+F16/100000+ROW()/10000000000,"")</f>
        <v/>
      </c>
      <c r="U16" s="29">
        <f>IF(AND(B16&lt;&gt;"",G16="Leyendo"),ROW()-6,"")</f>
        <v/>
      </c>
    </row>
    <row r="17" ht="20" customHeight="1">
      <c r="B17" s="31" t="inlineStr">
        <is>
          <t>El hobbit</t>
        </is>
      </c>
      <c r="C17" s="31" t="inlineStr">
        <is>
          <t>J. R. R. Tolkien</t>
        </is>
      </c>
      <c r="D17" s="31" t="inlineStr">
        <is>
          <t>Fantasía</t>
        </is>
      </c>
      <c r="E17" s="32" t="inlineStr">
        <is>
          <t>Papel</t>
        </is>
      </c>
      <c r="F17" s="14" t="n">
        <v>320</v>
      </c>
      <c r="G17" s="32" t="inlineStr">
        <is>
          <t>Terminado</t>
        </is>
      </c>
      <c r="H17" s="14" t="n"/>
      <c r="I17" s="17" t="n">
        <v>46218</v>
      </c>
      <c r="J17" s="17" t="n">
        <v>46233</v>
      </c>
      <c r="K17" s="10" t="n">
        <v>5</v>
      </c>
      <c r="L17" s="31" t="inlineStr">
        <is>
          <t>Perfecto para leer del tirón en vacaciones.</t>
        </is>
      </c>
      <c r="M17" s="30">
        <f>IF(B17="","",IF(G17="Terminado",1,IF(OR(F17="",H17=""),0,MIN(1,H17/F17))))</f>
        <v/>
      </c>
      <c r="N17" s="28">
        <f>IF(OR(B17="",K17=""),"",REPT("★",K17)&amp;REPT("☆",5-K17))</f>
        <v/>
      </c>
      <c r="O17" s="33">
        <f>IF(OR(I17="",J17=""),"",IF(J17&lt;I17,"",J17-I17+1))</f>
        <v/>
      </c>
      <c r="P17" s="19">
        <f>IF(OR(O17="",F17=""),"",ROUND(F17/O17,1))</f>
        <v/>
      </c>
      <c r="Q17" s="33">
        <f>IF(AND(G17="Terminado",J17&lt;&gt;""),YEAR(J17),"")</f>
        <v/>
      </c>
      <c r="R17" s="33">
        <f>IF(AND(G17="Terminado",J17&lt;&gt;""),MONTH(J17),"")</f>
        <v/>
      </c>
      <c r="S17" s="28">
        <f>IF(B17="","",IF(AND(G17="Terminado",J17=""),"Falta fecha fin",IF(AND(I17&lt;&gt;"",J17&lt;&gt;"",J17&lt;I17),"Fechas incoherentes",IF(AND(G17="Terminado",K17=""),"Sin valorar",IF(AND(G17="Leyendo",I17=""),"Falta fecha inicio","OK")))))</f>
        <v/>
      </c>
      <c r="T17" s="34">
        <f>IF(AND(G17="Terminado",K17&lt;&gt;"",Q17=Panel!$C$9),K17+F17/100000+ROW()/10000000000,"")</f>
        <v/>
      </c>
      <c r="U17" s="29">
        <f>IF(AND(B17&lt;&gt;"",G17="Leyendo"),ROW()-6,"")</f>
        <v/>
      </c>
    </row>
    <row r="18" ht="20" customHeight="1">
      <c r="B18" s="31" t="inlineStr">
        <is>
          <t>Crimen y castigo</t>
        </is>
      </c>
      <c r="C18" s="31" t="inlineStr">
        <is>
          <t>Fiódor Dostoievski</t>
        </is>
      </c>
      <c r="D18" s="31" t="inlineStr">
        <is>
          <t>Novela</t>
        </is>
      </c>
      <c r="E18" s="32" t="inlineStr">
        <is>
          <t>Papel</t>
        </is>
      </c>
      <c r="F18" s="14" t="n">
        <v>672</v>
      </c>
      <c r="G18" s="32" t="inlineStr">
        <is>
          <t>Leyendo</t>
        </is>
      </c>
      <c r="H18" s="14" t="n">
        <v>410</v>
      </c>
      <c r="I18" s="17" t="n">
        <v>46275</v>
      </c>
      <c r="J18" s="17" t="n"/>
      <c r="K18" s="10" t="n"/>
      <c r="L18" s="31" t="inlineStr">
        <is>
          <t>Voy por la segunda parte; muy denso, pero atrapa.</t>
        </is>
      </c>
      <c r="M18" s="30">
        <f>IF(B18="","",IF(G18="Terminado",1,IF(OR(F18="",H18=""),0,MIN(1,H18/F18))))</f>
        <v/>
      </c>
      <c r="N18" s="28">
        <f>IF(OR(B18="",K18=""),"",REPT("★",K18)&amp;REPT("☆",5-K18))</f>
        <v/>
      </c>
      <c r="O18" s="33">
        <f>IF(OR(I18="",J18=""),"",IF(J18&lt;I18,"",J18-I18+1))</f>
        <v/>
      </c>
      <c r="P18" s="19">
        <f>IF(OR(O18="",F18=""),"",ROUND(F18/O18,1))</f>
        <v/>
      </c>
      <c r="Q18" s="33">
        <f>IF(AND(G18="Terminado",J18&lt;&gt;""),YEAR(J18),"")</f>
        <v/>
      </c>
      <c r="R18" s="33">
        <f>IF(AND(G18="Terminado",J18&lt;&gt;""),MONTH(J18),"")</f>
        <v/>
      </c>
      <c r="S18" s="28">
        <f>IF(B18="","",IF(AND(G18="Terminado",J18=""),"Falta fecha fin",IF(AND(I18&lt;&gt;"",J18&lt;&gt;"",J18&lt;I18),"Fechas incoherentes",IF(AND(G18="Terminado",K18=""),"Sin valorar",IF(AND(G18="Leyendo",I18=""),"Falta fecha inicio","OK")))))</f>
        <v/>
      </c>
      <c r="T18" s="34">
        <f>IF(AND(G18="Terminado",K18&lt;&gt;"",Q18=Panel!$C$9),K18+F18/100000+ROW()/10000000000,"")</f>
        <v/>
      </c>
      <c r="U18" s="29">
        <f>IF(AND(B18&lt;&gt;"",G18="Leyendo"),ROW()-6,"")</f>
        <v/>
      </c>
    </row>
    <row r="19" ht="20" customHeight="1">
      <c r="B19" s="31" t="inlineStr">
        <is>
          <t>Ulises</t>
        </is>
      </c>
      <c r="C19" s="31" t="inlineStr">
        <is>
          <t>James Joyce</t>
        </is>
      </c>
      <c r="D19" s="31" t="inlineStr">
        <is>
          <t>Novela</t>
        </is>
      </c>
      <c r="E19" s="32" t="inlineStr">
        <is>
          <t>Papel</t>
        </is>
      </c>
      <c r="F19" s="14" t="n">
        <v>988</v>
      </c>
      <c r="G19" s="32" t="inlineStr">
        <is>
          <t>Abandonado</t>
        </is>
      </c>
      <c r="H19" s="14" t="n">
        <v>120</v>
      </c>
      <c r="I19" s="17" t="n">
        <v>46239</v>
      </c>
      <c r="J19" s="17" t="n"/>
      <c r="K19" s="10" t="n"/>
      <c r="L19" s="31" t="inlineStr">
        <is>
          <t>Lo dejo por ahora; probaré más adelante con una guía de lectura.</t>
        </is>
      </c>
      <c r="M19" s="30">
        <f>IF(B19="","",IF(G19="Terminado",1,IF(OR(F19="",H19=""),0,MIN(1,H19/F19))))</f>
        <v/>
      </c>
      <c r="N19" s="28">
        <f>IF(OR(B19="",K19=""),"",REPT("★",K19)&amp;REPT("☆",5-K19))</f>
        <v/>
      </c>
      <c r="O19" s="33">
        <f>IF(OR(I19="",J19=""),"",IF(J19&lt;I19,"",J19-I19+1))</f>
        <v/>
      </c>
      <c r="P19" s="19">
        <f>IF(OR(O19="",F19=""),"",ROUND(F19/O19,1))</f>
        <v/>
      </c>
      <c r="Q19" s="33">
        <f>IF(AND(G19="Terminado",J19&lt;&gt;""),YEAR(J19),"")</f>
        <v/>
      </c>
      <c r="R19" s="33">
        <f>IF(AND(G19="Terminado",J19&lt;&gt;""),MONTH(J19),"")</f>
        <v/>
      </c>
      <c r="S19" s="28">
        <f>IF(B19="","",IF(AND(G19="Terminado",J19=""),"Falta fecha fin",IF(AND(I19&lt;&gt;"",J19&lt;&gt;"",J19&lt;I19),"Fechas incoherentes",IF(AND(G19="Terminado",K19=""),"Sin valorar",IF(AND(G19="Leyendo",I19=""),"Falta fecha inicio","OK")))))</f>
        <v/>
      </c>
      <c r="T19" s="34">
        <f>IF(AND(G19="Terminado",K19&lt;&gt;"",Q19=Panel!$C$9),K19+F19/100000+ROW()/10000000000,"")</f>
        <v/>
      </c>
      <c r="U19" s="29">
        <f>IF(AND(B19&lt;&gt;"",G19="Leyendo"),ROW()-6,"")</f>
        <v/>
      </c>
    </row>
    <row r="20" ht="20" customHeight="1">
      <c r="B20" s="31" t="inlineStr">
        <is>
          <t>El conde de Montecristo</t>
        </is>
      </c>
      <c r="C20" s="31" t="inlineStr">
        <is>
          <t>Alejandro Dumas</t>
        </is>
      </c>
      <c r="D20" s="31" t="inlineStr">
        <is>
          <t>Novela</t>
        </is>
      </c>
      <c r="E20" s="32" t="inlineStr">
        <is>
          <t>Ebook</t>
        </is>
      </c>
      <c r="F20" s="14" t="n">
        <v>1264</v>
      </c>
      <c r="G20" s="32" t="inlineStr">
        <is>
          <t>Pendiente</t>
        </is>
      </c>
      <c r="H20" s="14" t="n"/>
      <c r="I20" s="17" t="n"/>
      <c r="J20" s="17" t="n"/>
      <c r="K20" s="10" t="n"/>
      <c r="L20" s="31" t="inlineStr">
        <is>
          <t>Para el invierno.</t>
        </is>
      </c>
      <c r="M20" s="30">
        <f>IF(B20="","",IF(G20="Terminado",1,IF(OR(F20="",H20=""),0,MIN(1,H20/F20))))</f>
        <v/>
      </c>
      <c r="N20" s="28">
        <f>IF(OR(B20="",K20=""),"",REPT("★",K20)&amp;REPT("☆",5-K20))</f>
        <v/>
      </c>
      <c r="O20" s="33">
        <f>IF(OR(I20="",J20=""),"",IF(J20&lt;I20,"",J20-I20+1))</f>
        <v/>
      </c>
      <c r="P20" s="19">
        <f>IF(OR(O20="",F20=""),"",ROUND(F20/O20,1))</f>
        <v/>
      </c>
      <c r="Q20" s="33">
        <f>IF(AND(G20="Terminado",J20&lt;&gt;""),YEAR(J20),"")</f>
        <v/>
      </c>
      <c r="R20" s="33">
        <f>IF(AND(G20="Terminado",J20&lt;&gt;""),MONTH(J20),"")</f>
        <v/>
      </c>
      <c r="S20" s="28">
        <f>IF(B20="","",IF(AND(G20="Terminado",J20=""),"Falta fecha fin",IF(AND(I20&lt;&gt;"",J20&lt;&gt;"",J20&lt;I20),"Fechas incoherentes",IF(AND(G20="Terminado",K20=""),"Sin valorar",IF(AND(G20="Leyendo",I20=""),"Falta fecha inicio","OK")))))</f>
        <v/>
      </c>
      <c r="T20" s="34">
        <f>IF(AND(G20="Terminado",K20&lt;&gt;"",Q20=Panel!$C$9),K20+F20/100000+ROW()/10000000000,"")</f>
        <v/>
      </c>
      <c r="U20" s="29">
        <f>IF(AND(B20&lt;&gt;"",G20="Leyendo"),ROW()-6,"")</f>
        <v/>
      </c>
    </row>
    <row r="21" ht="20" customHeight="1">
      <c r="B21" s="31" t="inlineStr">
        <is>
          <t>Origen</t>
        </is>
      </c>
      <c r="C21" s="31" t="inlineStr">
        <is>
          <t>Dan Brown</t>
        </is>
      </c>
      <c r="D21" s="31" t="inlineStr">
        <is>
          <t>Misterio y thriller</t>
        </is>
      </c>
      <c r="E21" s="32" t="inlineStr">
        <is>
          <t>Papel</t>
        </is>
      </c>
      <c r="F21" s="14" t="n">
        <v>576</v>
      </c>
      <c r="G21" s="32" t="inlineStr">
        <is>
          <t>Pendiente</t>
        </is>
      </c>
      <c r="H21" s="14" t="n"/>
      <c r="I21" s="17" t="n"/>
      <c r="J21" s="17" t="n"/>
      <c r="K21" s="10" t="n"/>
      <c r="L21" s="31" t="inlineStr">
        <is>
          <t>Recomendado por un compañero de trabajo.</t>
        </is>
      </c>
      <c r="M21" s="30">
        <f>IF(B21="","",IF(G21="Terminado",1,IF(OR(F21="",H21=""),0,MIN(1,H21/F21))))</f>
        <v/>
      </c>
      <c r="N21" s="28">
        <f>IF(OR(B21="",K21=""),"",REPT("★",K21)&amp;REPT("☆",5-K21))</f>
        <v/>
      </c>
      <c r="O21" s="33">
        <f>IF(OR(I21="",J21=""),"",IF(J21&lt;I21,"",J21-I21+1))</f>
        <v/>
      </c>
      <c r="P21" s="19">
        <f>IF(OR(O21="",F21=""),"",ROUND(F21/O21,1))</f>
        <v/>
      </c>
      <c r="Q21" s="33">
        <f>IF(AND(G21="Terminado",J21&lt;&gt;""),YEAR(J21),"")</f>
        <v/>
      </c>
      <c r="R21" s="33">
        <f>IF(AND(G21="Terminado",J21&lt;&gt;""),MONTH(J21),"")</f>
        <v/>
      </c>
      <c r="S21" s="28">
        <f>IF(B21="","",IF(AND(G21="Terminado",J21=""),"Falta fecha fin",IF(AND(I21&lt;&gt;"",J21&lt;&gt;"",J21&lt;I21),"Fechas incoherentes",IF(AND(G21="Terminado",K21=""),"Sin valorar",IF(AND(G21="Leyendo",I21=""),"Falta fecha inicio","OK")))))</f>
        <v/>
      </c>
      <c r="T21" s="34">
        <f>IF(AND(G21="Terminado",K21&lt;&gt;"",Q21=Panel!$C$9),K21+F21/100000+ROW()/10000000000,"")</f>
        <v/>
      </c>
      <c r="U21" s="29">
        <f>IF(AND(B21&lt;&gt;"",G21="Leyendo"),ROW()-6,"")</f>
        <v/>
      </c>
    </row>
    <row r="22" ht="20" customHeight="1">
      <c r="B22" s="31" t="n"/>
      <c r="C22" s="31" t="n"/>
      <c r="D22" s="31" t="n"/>
      <c r="E22" s="32" t="n"/>
      <c r="F22" s="14" t="n"/>
      <c r="G22" s="32" t="n"/>
      <c r="H22" s="14" t="n"/>
      <c r="I22" s="17" t="n"/>
      <c r="J22" s="17" t="n"/>
      <c r="K22" s="10" t="n"/>
      <c r="L22" s="31" t="n"/>
      <c r="M22" s="30">
        <f>IF(B22="","",IF(G22="Terminado",1,IF(OR(F22="",H22=""),0,MIN(1,H22/F22))))</f>
        <v/>
      </c>
      <c r="N22" s="28">
        <f>IF(OR(B22="",K22=""),"",REPT("★",K22)&amp;REPT("☆",5-K22))</f>
        <v/>
      </c>
      <c r="O22" s="33">
        <f>IF(OR(I22="",J22=""),"",IF(J22&lt;I22,"",J22-I22+1))</f>
        <v/>
      </c>
      <c r="P22" s="19">
        <f>IF(OR(O22="",F22=""),"",ROUND(F22/O22,1))</f>
        <v/>
      </c>
      <c r="Q22" s="33">
        <f>IF(AND(G22="Terminado",J22&lt;&gt;""),YEAR(J22),"")</f>
        <v/>
      </c>
      <c r="R22" s="33">
        <f>IF(AND(G22="Terminado",J22&lt;&gt;""),MONTH(J22),"")</f>
        <v/>
      </c>
      <c r="S22" s="28">
        <f>IF(B22="","",IF(AND(G22="Terminado",J22=""),"Falta fecha fin",IF(AND(I22&lt;&gt;"",J22&lt;&gt;"",J22&lt;I22),"Fechas incoherentes",IF(AND(G22="Terminado",K22=""),"Sin valorar",IF(AND(G22="Leyendo",I22=""),"Falta fecha inicio","OK")))))</f>
        <v/>
      </c>
      <c r="T22" s="34">
        <f>IF(AND(G22="Terminado",K22&lt;&gt;"",Q22=Panel!$C$9),K22+F22/100000+ROW()/10000000000,"")</f>
        <v/>
      </c>
      <c r="U22" s="29">
        <f>IF(AND(B22&lt;&gt;"",G22="Leyendo"),ROW()-6,"")</f>
        <v/>
      </c>
    </row>
    <row r="23" ht="20" customHeight="1">
      <c r="B23" s="31" t="n"/>
      <c r="C23" s="31" t="n"/>
      <c r="D23" s="31" t="n"/>
      <c r="E23" s="32" t="n"/>
      <c r="F23" s="14" t="n"/>
      <c r="G23" s="32" t="n"/>
      <c r="H23" s="14" t="n"/>
      <c r="I23" s="17" t="n"/>
      <c r="J23" s="17" t="n"/>
      <c r="K23" s="10" t="n"/>
      <c r="L23" s="31" t="n"/>
      <c r="M23" s="30">
        <f>IF(B23="","",IF(G23="Terminado",1,IF(OR(F23="",H23=""),0,MIN(1,H23/F23))))</f>
        <v/>
      </c>
      <c r="N23" s="28">
        <f>IF(OR(B23="",K23=""),"",REPT("★",K23)&amp;REPT("☆",5-K23))</f>
        <v/>
      </c>
      <c r="O23" s="33">
        <f>IF(OR(I23="",J23=""),"",IF(J23&lt;I23,"",J23-I23+1))</f>
        <v/>
      </c>
      <c r="P23" s="19">
        <f>IF(OR(O23="",F23=""),"",ROUND(F23/O23,1))</f>
        <v/>
      </c>
      <c r="Q23" s="33">
        <f>IF(AND(G23="Terminado",J23&lt;&gt;""),YEAR(J23),"")</f>
        <v/>
      </c>
      <c r="R23" s="33">
        <f>IF(AND(G23="Terminado",J23&lt;&gt;""),MONTH(J23),"")</f>
        <v/>
      </c>
      <c r="S23" s="28">
        <f>IF(B23="","",IF(AND(G23="Terminado",J23=""),"Falta fecha fin",IF(AND(I23&lt;&gt;"",J23&lt;&gt;"",J23&lt;I23),"Fechas incoherentes",IF(AND(G23="Terminado",K23=""),"Sin valorar",IF(AND(G23="Leyendo",I23=""),"Falta fecha inicio","OK")))))</f>
        <v/>
      </c>
      <c r="T23" s="34">
        <f>IF(AND(G23="Terminado",K23&lt;&gt;"",Q23=Panel!$C$9),K23+F23/100000+ROW()/10000000000,"")</f>
        <v/>
      </c>
      <c r="U23" s="29">
        <f>IF(AND(B23&lt;&gt;"",G23="Leyendo"),ROW()-6,"")</f>
        <v/>
      </c>
    </row>
    <row r="24" ht="20" customHeight="1">
      <c r="B24" s="31" t="n"/>
      <c r="C24" s="31" t="n"/>
      <c r="D24" s="31" t="n"/>
      <c r="E24" s="32" t="n"/>
      <c r="F24" s="14" t="n"/>
      <c r="G24" s="32" t="n"/>
      <c r="H24" s="14" t="n"/>
      <c r="I24" s="17" t="n"/>
      <c r="J24" s="17" t="n"/>
      <c r="K24" s="10" t="n"/>
      <c r="L24" s="31" t="n"/>
      <c r="M24" s="30">
        <f>IF(B24="","",IF(G24="Terminado",1,IF(OR(F24="",H24=""),0,MIN(1,H24/F24))))</f>
        <v/>
      </c>
      <c r="N24" s="28">
        <f>IF(OR(B24="",K24=""),"",REPT("★",K24)&amp;REPT("☆",5-K24))</f>
        <v/>
      </c>
      <c r="O24" s="33">
        <f>IF(OR(I24="",J24=""),"",IF(J24&lt;I24,"",J24-I24+1))</f>
        <v/>
      </c>
      <c r="P24" s="19">
        <f>IF(OR(O24="",F24=""),"",ROUND(F24/O24,1))</f>
        <v/>
      </c>
      <c r="Q24" s="33">
        <f>IF(AND(G24="Terminado",J24&lt;&gt;""),YEAR(J24),"")</f>
        <v/>
      </c>
      <c r="R24" s="33">
        <f>IF(AND(G24="Terminado",J24&lt;&gt;""),MONTH(J24),"")</f>
        <v/>
      </c>
      <c r="S24" s="28">
        <f>IF(B24="","",IF(AND(G24="Terminado",J24=""),"Falta fecha fin",IF(AND(I24&lt;&gt;"",J24&lt;&gt;"",J24&lt;I24),"Fechas incoherentes",IF(AND(G24="Terminado",K24=""),"Sin valorar",IF(AND(G24="Leyendo",I24=""),"Falta fecha inicio","OK")))))</f>
        <v/>
      </c>
      <c r="T24" s="34">
        <f>IF(AND(G24="Terminado",K24&lt;&gt;"",Q24=Panel!$C$9),K24+F24/100000+ROW()/10000000000,"")</f>
        <v/>
      </c>
      <c r="U24" s="29">
        <f>IF(AND(B24&lt;&gt;"",G24="Leyendo"),ROW()-6,"")</f>
        <v/>
      </c>
    </row>
    <row r="25" ht="20" customHeight="1">
      <c r="B25" s="31" t="n"/>
      <c r="C25" s="31" t="n"/>
      <c r="D25" s="31" t="n"/>
      <c r="E25" s="32" t="n"/>
      <c r="F25" s="14" t="n"/>
      <c r="G25" s="32" t="n"/>
      <c r="H25" s="14" t="n"/>
      <c r="I25" s="17" t="n"/>
      <c r="J25" s="17" t="n"/>
      <c r="K25" s="10" t="n"/>
      <c r="L25" s="31" t="n"/>
      <c r="M25" s="30">
        <f>IF(B25="","",IF(G25="Terminado",1,IF(OR(F25="",H25=""),0,MIN(1,H25/F25))))</f>
        <v/>
      </c>
      <c r="N25" s="28">
        <f>IF(OR(B25="",K25=""),"",REPT("★",K25)&amp;REPT("☆",5-K25))</f>
        <v/>
      </c>
      <c r="O25" s="33">
        <f>IF(OR(I25="",J25=""),"",IF(J25&lt;I25,"",J25-I25+1))</f>
        <v/>
      </c>
      <c r="P25" s="19">
        <f>IF(OR(O25="",F25=""),"",ROUND(F25/O25,1))</f>
        <v/>
      </c>
      <c r="Q25" s="33">
        <f>IF(AND(G25="Terminado",J25&lt;&gt;""),YEAR(J25),"")</f>
        <v/>
      </c>
      <c r="R25" s="33">
        <f>IF(AND(G25="Terminado",J25&lt;&gt;""),MONTH(J25),"")</f>
        <v/>
      </c>
      <c r="S25" s="28">
        <f>IF(B25="","",IF(AND(G25="Terminado",J25=""),"Falta fecha fin",IF(AND(I25&lt;&gt;"",J25&lt;&gt;"",J25&lt;I25),"Fechas incoherentes",IF(AND(G25="Terminado",K25=""),"Sin valorar",IF(AND(G25="Leyendo",I25=""),"Falta fecha inicio","OK")))))</f>
        <v/>
      </c>
      <c r="T25" s="34">
        <f>IF(AND(G25="Terminado",K25&lt;&gt;"",Q25=Panel!$C$9),K25+F25/100000+ROW()/10000000000,"")</f>
        <v/>
      </c>
      <c r="U25" s="29">
        <f>IF(AND(B25&lt;&gt;"",G25="Leyendo"),ROW()-6,"")</f>
        <v/>
      </c>
    </row>
    <row r="26" ht="20" customHeight="1">
      <c r="B26" s="31" t="n"/>
      <c r="C26" s="31" t="n"/>
      <c r="D26" s="31" t="n"/>
      <c r="E26" s="32" t="n"/>
      <c r="F26" s="14" t="n"/>
      <c r="G26" s="32" t="n"/>
      <c r="H26" s="14" t="n"/>
      <c r="I26" s="17" t="n"/>
      <c r="J26" s="17" t="n"/>
      <c r="K26" s="10" t="n"/>
      <c r="L26" s="31" t="n"/>
      <c r="M26" s="30">
        <f>IF(B26="","",IF(G26="Terminado",1,IF(OR(F26="",H26=""),0,MIN(1,H26/F26))))</f>
        <v/>
      </c>
      <c r="N26" s="28">
        <f>IF(OR(B26="",K26=""),"",REPT("★",K26)&amp;REPT("☆",5-K26))</f>
        <v/>
      </c>
      <c r="O26" s="33">
        <f>IF(OR(I26="",J26=""),"",IF(J26&lt;I26,"",J26-I26+1))</f>
        <v/>
      </c>
      <c r="P26" s="19">
        <f>IF(OR(O26="",F26=""),"",ROUND(F26/O26,1))</f>
        <v/>
      </c>
      <c r="Q26" s="33">
        <f>IF(AND(G26="Terminado",J26&lt;&gt;""),YEAR(J26),"")</f>
        <v/>
      </c>
      <c r="R26" s="33">
        <f>IF(AND(G26="Terminado",J26&lt;&gt;""),MONTH(J26),"")</f>
        <v/>
      </c>
      <c r="S26" s="28">
        <f>IF(B26="","",IF(AND(G26="Terminado",J26=""),"Falta fecha fin",IF(AND(I26&lt;&gt;"",J26&lt;&gt;"",J26&lt;I26),"Fechas incoherentes",IF(AND(G26="Terminado",K26=""),"Sin valorar",IF(AND(G26="Leyendo",I26=""),"Falta fecha inicio","OK")))))</f>
        <v/>
      </c>
      <c r="T26" s="34">
        <f>IF(AND(G26="Terminado",K26&lt;&gt;"",Q26=Panel!$C$9),K26+F26/100000+ROW()/10000000000,"")</f>
        <v/>
      </c>
      <c r="U26" s="29">
        <f>IF(AND(B26&lt;&gt;"",G26="Leyendo"),ROW()-6,"")</f>
        <v/>
      </c>
    </row>
    <row r="27" ht="20" customHeight="1">
      <c r="B27" s="31" t="n"/>
      <c r="C27" s="31" t="n"/>
      <c r="D27" s="31" t="n"/>
      <c r="E27" s="32" t="n"/>
      <c r="F27" s="14" t="n"/>
      <c r="G27" s="32" t="n"/>
      <c r="H27" s="14" t="n"/>
      <c r="I27" s="17" t="n"/>
      <c r="J27" s="17" t="n"/>
      <c r="K27" s="10" t="n"/>
      <c r="L27" s="31" t="n"/>
      <c r="M27" s="30">
        <f>IF(B27="","",IF(G27="Terminado",1,IF(OR(F27="",H27=""),0,MIN(1,H27/F27))))</f>
        <v/>
      </c>
      <c r="N27" s="28">
        <f>IF(OR(B27="",K27=""),"",REPT("★",K27)&amp;REPT("☆",5-K27))</f>
        <v/>
      </c>
      <c r="O27" s="33">
        <f>IF(OR(I27="",J27=""),"",IF(J27&lt;I27,"",J27-I27+1))</f>
        <v/>
      </c>
      <c r="P27" s="19">
        <f>IF(OR(O27="",F27=""),"",ROUND(F27/O27,1))</f>
        <v/>
      </c>
      <c r="Q27" s="33">
        <f>IF(AND(G27="Terminado",J27&lt;&gt;""),YEAR(J27),"")</f>
        <v/>
      </c>
      <c r="R27" s="33">
        <f>IF(AND(G27="Terminado",J27&lt;&gt;""),MONTH(J27),"")</f>
        <v/>
      </c>
      <c r="S27" s="28">
        <f>IF(B27="","",IF(AND(G27="Terminado",J27=""),"Falta fecha fin",IF(AND(I27&lt;&gt;"",J27&lt;&gt;"",J27&lt;I27),"Fechas incoherentes",IF(AND(G27="Terminado",K27=""),"Sin valorar",IF(AND(G27="Leyendo",I27=""),"Falta fecha inicio","OK")))))</f>
        <v/>
      </c>
      <c r="T27" s="34">
        <f>IF(AND(G27="Terminado",K27&lt;&gt;"",Q27=Panel!$C$9),K27+F27/100000+ROW()/10000000000,"")</f>
        <v/>
      </c>
      <c r="U27" s="29">
        <f>IF(AND(B27&lt;&gt;"",G27="Leyendo"),ROW()-6,"")</f>
        <v/>
      </c>
    </row>
    <row r="28" ht="20" customHeight="1">
      <c r="B28" s="31" t="n"/>
      <c r="C28" s="31" t="n"/>
      <c r="D28" s="31" t="n"/>
      <c r="E28" s="32" t="n"/>
      <c r="F28" s="14" t="n"/>
      <c r="G28" s="32" t="n"/>
      <c r="H28" s="14" t="n"/>
      <c r="I28" s="17" t="n"/>
      <c r="J28" s="17" t="n"/>
      <c r="K28" s="10" t="n"/>
      <c r="L28" s="31" t="n"/>
      <c r="M28" s="30">
        <f>IF(B28="","",IF(G28="Terminado",1,IF(OR(F28="",H28=""),0,MIN(1,H28/F28))))</f>
        <v/>
      </c>
      <c r="N28" s="28">
        <f>IF(OR(B28="",K28=""),"",REPT("★",K28)&amp;REPT("☆",5-K28))</f>
        <v/>
      </c>
      <c r="O28" s="33">
        <f>IF(OR(I28="",J28=""),"",IF(J28&lt;I28,"",J28-I28+1))</f>
        <v/>
      </c>
      <c r="P28" s="19">
        <f>IF(OR(O28="",F28=""),"",ROUND(F28/O28,1))</f>
        <v/>
      </c>
      <c r="Q28" s="33">
        <f>IF(AND(G28="Terminado",J28&lt;&gt;""),YEAR(J28),"")</f>
        <v/>
      </c>
      <c r="R28" s="33">
        <f>IF(AND(G28="Terminado",J28&lt;&gt;""),MONTH(J28),"")</f>
        <v/>
      </c>
      <c r="S28" s="28">
        <f>IF(B28="","",IF(AND(G28="Terminado",J28=""),"Falta fecha fin",IF(AND(I28&lt;&gt;"",J28&lt;&gt;"",J28&lt;I28),"Fechas incoherentes",IF(AND(G28="Terminado",K28=""),"Sin valorar",IF(AND(G28="Leyendo",I28=""),"Falta fecha inicio","OK")))))</f>
        <v/>
      </c>
      <c r="T28" s="34">
        <f>IF(AND(G28="Terminado",K28&lt;&gt;"",Q28=Panel!$C$9),K28+F28/100000+ROW()/10000000000,"")</f>
        <v/>
      </c>
      <c r="U28" s="29">
        <f>IF(AND(B28&lt;&gt;"",G28="Leyendo"),ROW()-6,"")</f>
        <v/>
      </c>
    </row>
    <row r="29" ht="20" customHeight="1">
      <c r="B29" s="31" t="n"/>
      <c r="C29" s="31" t="n"/>
      <c r="D29" s="31" t="n"/>
      <c r="E29" s="32" t="n"/>
      <c r="F29" s="14" t="n"/>
      <c r="G29" s="32" t="n"/>
      <c r="H29" s="14" t="n"/>
      <c r="I29" s="17" t="n"/>
      <c r="J29" s="17" t="n"/>
      <c r="K29" s="10" t="n"/>
      <c r="L29" s="31" t="n"/>
      <c r="M29" s="30">
        <f>IF(B29="","",IF(G29="Terminado",1,IF(OR(F29="",H29=""),0,MIN(1,H29/F29))))</f>
        <v/>
      </c>
      <c r="N29" s="28">
        <f>IF(OR(B29="",K29=""),"",REPT("★",K29)&amp;REPT("☆",5-K29))</f>
        <v/>
      </c>
      <c r="O29" s="33">
        <f>IF(OR(I29="",J29=""),"",IF(J29&lt;I29,"",J29-I29+1))</f>
        <v/>
      </c>
      <c r="P29" s="19">
        <f>IF(OR(O29="",F29=""),"",ROUND(F29/O29,1))</f>
        <v/>
      </c>
      <c r="Q29" s="33">
        <f>IF(AND(G29="Terminado",J29&lt;&gt;""),YEAR(J29),"")</f>
        <v/>
      </c>
      <c r="R29" s="33">
        <f>IF(AND(G29="Terminado",J29&lt;&gt;""),MONTH(J29),"")</f>
        <v/>
      </c>
      <c r="S29" s="28">
        <f>IF(B29="","",IF(AND(G29="Terminado",J29=""),"Falta fecha fin",IF(AND(I29&lt;&gt;"",J29&lt;&gt;"",J29&lt;I29),"Fechas incoherentes",IF(AND(G29="Terminado",K29=""),"Sin valorar",IF(AND(G29="Leyendo",I29=""),"Falta fecha inicio","OK")))))</f>
        <v/>
      </c>
      <c r="T29" s="34">
        <f>IF(AND(G29="Terminado",K29&lt;&gt;"",Q29=Panel!$C$9),K29+F29/100000+ROW()/10000000000,"")</f>
        <v/>
      </c>
      <c r="U29" s="29">
        <f>IF(AND(B29&lt;&gt;"",G29="Leyendo"),ROW()-6,"")</f>
        <v/>
      </c>
    </row>
    <row r="30" ht="20" customHeight="1">
      <c r="B30" s="31" t="n"/>
      <c r="C30" s="31" t="n"/>
      <c r="D30" s="31" t="n"/>
      <c r="E30" s="32" t="n"/>
      <c r="F30" s="14" t="n"/>
      <c r="G30" s="32" t="n"/>
      <c r="H30" s="14" t="n"/>
      <c r="I30" s="17" t="n"/>
      <c r="J30" s="17" t="n"/>
      <c r="K30" s="10" t="n"/>
      <c r="L30" s="31" t="n"/>
      <c r="M30" s="30">
        <f>IF(B30="","",IF(G30="Terminado",1,IF(OR(F30="",H30=""),0,MIN(1,H30/F30))))</f>
        <v/>
      </c>
      <c r="N30" s="28">
        <f>IF(OR(B30="",K30=""),"",REPT("★",K30)&amp;REPT("☆",5-K30))</f>
        <v/>
      </c>
      <c r="O30" s="33">
        <f>IF(OR(I30="",J30=""),"",IF(J30&lt;I30,"",J30-I30+1))</f>
        <v/>
      </c>
      <c r="P30" s="19">
        <f>IF(OR(O30="",F30=""),"",ROUND(F30/O30,1))</f>
        <v/>
      </c>
      <c r="Q30" s="33">
        <f>IF(AND(G30="Terminado",J30&lt;&gt;""),YEAR(J30),"")</f>
        <v/>
      </c>
      <c r="R30" s="33">
        <f>IF(AND(G30="Terminado",J30&lt;&gt;""),MONTH(J30),"")</f>
        <v/>
      </c>
      <c r="S30" s="28">
        <f>IF(B30="","",IF(AND(G30="Terminado",J30=""),"Falta fecha fin",IF(AND(I30&lt;&gt;"",J30&lt;&gt;"",J30&lt;I30),"Fechas incoherentes",IF(AND(G30="Terminado",K30=""),"Sin valorar",IF(AND(G30="Leyendo",I30=""),"Falta fecha inicio","OK")))))</f>
        <v/>
      </c>
      <c r="T30" s="34">
        <f>IF(AND(G30="Terminado",K30&lt;&gt;"",Q30=Panel!$C$9),K30+F30/100000+ROW()/10000000000,"")</f>
        <v/>
      </c>
      <c r="U30" s="29">
        <f>IF(AND(B30&lt;&gt;"",G30="Leyendo"),ROW()-6,"")</f>
        <v/>
      </c>
    </row>
    <row r="31" ht="20" customHeight="1">
      <c r="B31" s="31" t="n"/>
      <c r="C31" s="31" t="n"/>
      <c r="D31" s="31" t="n"/>
      <c r="E31" s="32" t="n"/>
      <c r="F31" s="14" t="n"/>
      <c r="G31" s="32" t="n"/>
      <c r="H31" s="14" t="n"/>
      <c r="I31" s="17" t="n"/>
      <c r="J31" s="17" t="n"/>
      <c r="K31" s="10" t="n"/>
      <c r="L31" s="31" t="n"/>
      <c r="M31" s="30">
        <f>IF(B31="","",IF(G31="Terminado",1,IF(OR(F31="",H31=""),0,MIN(1,H31/F31))))</f>
        <v/>
      </c>
      <c r="N31" s="28">
        <f>IF(OR(B31="",K31=""),"",REPT("★",K31)&amp;REPT("☆",5-K31))</f>
        <v/>
      </c>
      <c r="O31" s="33">
        <f>IF(OR(I31="",J31=""),"",IF(J31&lt;I31,"",J31-I31+1))</f>
        <v/>
      </c>
      <c r="P31" s="19">
        <f>IF(OR(O31="",F31=""),"",ROUND(F31/O31,1))</f>
        <v/>
      </c>
      <c r="Q31" s="33">
        <f>IF(AND(G31="Terminado",J31&lt;&gt;""),YEAR(J31),"")</f>
        <v/>
      </c>
      <c r="R31" s="33">
        <f>IF(AND(G31="Terminado",J31&lt;&gt;""),MONTH(J31),"")</f>
        <v/>
      </c>
      <c r="S31" s="28">
        <f>IF(B31="","",IF(AND(G31="Terminado",J31=""),"Falta fecha fin",IF(AND(I31&lt;&gt;"",J31&lt;&gt;"",J31&lt;I31),"Fechas incoherentes",IF(AND(G31="Terminado",K31=""),"Sin valorar",IF(AND(G31="Leyendo",I31=""),"Falta fecha inicio","OK")))))</f>
        <v/>
      </c>
      <c r="T31" s="34">
        <f>IF(AND(G31="Terminado",K31&lt;&gt;"",Q31=Panel!$C$9),K31+F31/100000+ROW()/10000000000,"")</f>
        <v/>
      </c>
      <c r="U31" s="29">
        <f>IF(AND(B31&lt;&gt;"",G31="Leyendo"),ROW()-6,"")</f>
        <v/>
      </c>
    </row>
    <row r="32" ht="20" customHeight="1">
      <c r="B32" s="31" t="n"/>
      <c r="C32" s="31" t="n"/>
      <c r="D32" s="31" t="n"/>
      <c r="E32" s="32" t="n"/>
      <c r="F32" s="14" t="n"/>
      <c r="G32" s="32" t="n"/>
      <c r="H32" s="14" t="n"/>
      <c r="I32" s="17" t="n"/>
      <c r="J32" s="17" t="n"/>
      <c r="K32" s="10" t="n"/>
      <c r="L32" s="31" t="n"/>
      <c r="M32" s="30">
        <f>IF(B32="","",IF(G32="Terminado",1,IF(OR(F32="",H32=""),0,MIN(1,H32/F32))))</f>
        <v/>
      </c>
      <c r="N32" s="28">
        <f>IF(OR(B32="",K32=""),"",REPT("★",K32)&amp;REPT("☆",5-K32))</f>
        <v/>
      </c>
      <c r="O32" s="33">
        <f>IF(OR(I32="",J32=""),"",IF(J32&lt;I32,"",J32-I32+1))</f>
        <v/>
      </c>
      <c r="P32" s="19">
        <f>IF(OR(O32="",F32=""),"",ROUND(F32/O32,1))</f>
        <v/>
      </c>
      <c r="Q32" s="33">
        <f>IF(AND(G32="Terminado",J32&lt;&gt;""),YEAR(J32),"")</f>
        <v/>
      </c>
      <c r="R32" s="33">
        <f>IF(AND(G32="Terminado",J32&lt;&gt;""),MONTH(J32),"")</f>
        <v/>
      </c>
      <c r="S32" s="28">
        <f>IF(B32="","",IF(AND(G32="Terminado",J32=""),"Falta fecha fin",IF(AND(I32&lt;&gt;"",J32&lt;&gt;"",J32&lt;I32),"Fechas incoherentes",IF(AND(G32="Terminado",K32=""),"Sin valorar",IF(AND(G32="Leyendo",I32=""),"Falta fecha inicio","OK")))))</f>
        <v/>
      </c>
      <c r="T32" s="34">
        <f>IF(AND(G32="Terminado",K32&lt;&gt;"",Q32=Panel!$C$9),K32+F32/100000+ROW()/10000000000,"")</f>
        <v/>
      </c>
      <c r="U32" s="29">
        <f>IF(AND(B32&lt;&gt;"",G32="Leyendo"),ROW()-6,"")</f>
        <v/>
      </c>
    </row>
    <row r="33" ht="20" customHeight="1">
      <c r="B33" s="31" t="n"/>
      <c r="C33" s="31" t="n"/>
      <c r="D33" s="31" t="n"/>
      <c r="E33" s="32" t="n"/>
      <c r="F33" s="14" t="n"/>
      <c r="G33" s="32" t="n"/>
      <c r="H33" s="14" t="n"/>
      <c r="I33" s="17" t="n"/>
      <c r="J33" s="17" t="n"/>
      <c r="K33" s="10" t="n"/>
      <c r="L33" s="31" t="n"/>
      <c r="M33" s="30">
        <f>IF(B33="","",IF(G33="Terminado",1,IF(OR(F33="",H33=""),0,MIN(1,H33/F33))))</f>
        <v/>
      </c>
      <c r="N33" s="28">
        <f>IF(OR(B33="",K33=""),"",REPT("★",K33)&amp;REPT("☆",5-K33))</f>
        <v/>
      </c>
      <c r="O33" s="33">
        <f>IF(OR(I33="",J33=""),"",IF(J33&lt;I33,"",J33-I33+1))</f>
        <v/>
      </c>
      <c r="P33" s="19">
        <f>IF(OR(O33="",F33=""),"",ROUND(F33/O33,1))</f>
        <v/>
      </c>
      <c r="Q33" s="33">
        <f>IF(AND(G33="Terminado",J33&lt;&gt;""),YEAR(J33),"")</f>
        <v/>
      </c>
      <c r="R33" s="33">
        <f>IF(AND(G33="Terminado",J33&lt;&gt;""),MONTH(J33),"")</f>
        <v/>
      </c>
      <c r="S33" s="28">
        <f>IF(B33="","",IF(AND(G33="Terminado",J33=""),"Falta fecha fin",IF(AND(I33&lt;&gt;"",J33&lt;&gt;"",J33&lt;I33),"Fechas incoherentes",IF(AND(G33="Terminado",K33=""),"Sin valorar",IF(AND(G33="Leyendo",I33=""),"Falta fecha inicio","OK")))))</f>
        <v/>
      </c>
      <c r="T33" s="34">
        <f>IF(AND(G33="Terminado",K33&lt;&gt;"",Q33=Panel!$C$9),K33+F33/100000+ROW()/10000000000,"")</f>
        <v/>
      </c>
      <c r="U33" s="29">
        <f>IF(AND(B33&lt;&gt;"",G33="Leyendo"),ROW()-6,"")</f>
        <v/>
      </c>
    </row>
    <row r="34" ht="20" customHeight="1">
      <c r="B34" s="31" t="n"/>
      <c r="C34" s="31" t="n"/>
      <c r="D34" s="31" t="n"/>
      <c r="E34" s="32" t="n"/>
      <c r="F34" s="14" t="n"/>
      <c r="G34" s="32" t="n"/>
      <c r="H34" s="14" t="n"/>
      <c r="I34" s="17" t="n"/>
      <c r="J34" s="17" t="n"/>
      <c r="K34" s="10" t="n"/>
      <c r="L34" s="31" t="n"/>
      <c r="M34" s="30">
        <f>IF(B34="","",IF(G34="Terminado",1,IF(OR(F34="",H34=""),0,MIN(1,H34/F34))))</f>
        <v/>
      </c>
      <c r="N34" s="28">
        <f>IF(OR(B34="",K34=""),"",REPT("★",K34)&amp;REPT("☆",5-K34))</f>
        <v/>
      </c>
      <c r="O34" s="33">
        <f>IF(OR(I34="",J34=""),"",IF(J34&lt;I34,"",J34-I34+1))</f>
        <v/>
      </c>
      <c r="P34" s="19">
        <f>IF(OR(O34="",F34=""),"",ROUND(F34/O34,1))</f>
        <v/>
      </c>
      <c r="Q34" s="33">
        <f>IF(AND(G34="Terminado",J34&lt;&gt;""),YEAR(J34),"")</f>
        <v/>
      </c>
      <c r="R34" s="33">
        <f>IF(AND(G34="Terminado",J34&lt;&gt;""),MONTH(J34),"")</f>
        <v/>
      </c>
      <c r="S34" s="28">
        <f>IF(B34="","",IF(AND(G34="Terminado",J34=""),"Falta fecha fin",IF(AND(I34&lt;&gt;"",J34&lt;&gt;"",J34&lt;I34),"Fechas incoherentes",IF(AND(G34="Terminado",K34=""),"Sin valorar",IF(AND(G34="Leyendo",I34=""),"Falta fecha inicio","OK")))))</f>
        <v/>
      </c>
      <c r="T34" s="34">
        <f>IF(AND(G34="Terminado",K34&lt;&gt;"",Q34=Panel!$C$9),K34+F34/100000+ROW()/10000000000,"")</f>
        <v/>
      </c>
      <c r="U34" s="29">
        <f>IF(AND(B34&lt;&gt;"",G34="Leyendo"),ROW()-6,"")</f>
        <v/>
      </c>
    </row>
    <row r="35" ht="20" customHeight="1">
      <c r="B35" s="31" t="n"/>
      <c r="C35" s="31" t="n"/>
      <c r="D35" s="31" t="n"/>
      <c r="E35" s="32" t="n"/>
      <c r="F35" s="14" t="n"/>
      <c r="G35" s="32" t="n"/>
      <c r="H35" s="14" t="n"/>
      <c r="I35" s="17" t="n"/>
      <c r="J35" s="17" t="n"/>
      <c r="K35" s="10" t="n"/>
      <c r="L35" s="31" t="n"/>
      <c r="M35" s="30">
        <f>IF(B35="","",IF(G35="Terminado",1,IF(OR(F35="",H35=""),0,MIN(1,H35/F35))))</f>
        <v/>
      </c>
      <c r="N35" s="28">
        <f>IF(OR(B35="",K35=""),"",REPT("★",K35)&amp;REPT("☆",5-K35))</f>
        <v/>
      </c>
      <c r="O35" s="33">
        <f>IF(OR(I35="",J35=""),"",IF(J35&lt;I35,"",J35-I35+1))</f>
        <v/>
      </c>
      <c r="P35" s="19">
        <f>IF(OR(O35="",F35=""),"",ROUND(F35/O35,1))</f>
        <v/>
      </c>
      <c r="Q35" s="33">
        <f>IF(AND(G35="Terminado",J35&lt;&gt;""),YEAR(J35),"")</f>
        <v/>
      </c>
      <c r="R35" s="33">
        <f>IF(AND(G35="Terminado",J35&lt;&gt;""),MONTH(J35),"")</f>
        <v/>
      </c>
      <c r="S35" s="28">
        <f>IF(B35="","",IF(AND(G35="Terminado",J35=""),"Falta fecha fin",IF(AND(I35&lt;&gt;"",J35&lt;&gt;"",J35&lt;I35),"Fechas incoherentes",IF(AND(G35="Terminado",K35=""),"Sin valorar",IF(AND(G35="Leyendo",I35=""),"Falta fecha inicio","OK")))))</f>
        <v/>
      </c>
      <c r="T35" s="34">
        <f>IF(AND(G35="Terminado",K35&lt;&gt;"",Q35=Panel!$C$9),K35+F35/100000+ROW()/10000000000,"")</f>
        <v/>
      </c>
      <c r="U35" s="29">
        <f>IF(AND(B35&lt;&gt;"",G35="Leyendo"),ROW()-6,"")</f>
        <v/>
      </c>
    </row>
    <row r="36" ht="20" customHeight="1">
      <c r="B36" s="31" t="n"/>
      <c r="C36" s="31" t="n"/>
      <c r="D36" s="31" t="n"/>
      <c r="E36" s="32" t="n"/>
      <c r="F36" s="14" t="n"/>
      <c r="G36" s="32" t="n"/>
      <c r="H36" s="14" t="n"/>
      <c r="I36" s="17" t="n"/>
      <c r="J36" s="17" t="n"/>
      <c r="K36" s="10" t="n"/>
      <c r="L36" s="31" t="n"/>
      <c r="M36" s="30">
        <f>IF(B36="","",IF(G36="Terminado",1,IF(OR(F36="",H36=""),0,MIN(1,H36/F36))))</f>
        <v/>
      </c>
      <c r="N36" s="28">
        <f>IF(OR(B36="",K36=""),"",REPT("★",K36)&amp;REPT("☆",5-K36))</f>
        <v/>
      </c>
      <c r="O36" s="33">
        <f>IF(OR(I36="",J36=""),"",IF(J36&lt;I36,"",J36-I36+1))</f>
        <v/>
      </c>
      <c r="P36" s="19">
        <f>IF(OR(O36="",F36=""),"",ROUND(F36/O36,1))</f>
        <v/>
      </c>
      <c r="Q36" s="33">
        <f>IF(AND(G36="Terminado",J36&lt;&gt;""),YEAR(J36),"")</f>
        <v/>
      </c>
      <c r="R36" s="33">
        <f>IF(AND(G36="Terminado",J36&lt;&gt;""),MONTH(J36),"")</f>
        <v/>
      </c>
      <c r="S36" s="28">
        <f>IF(B36="","",IF(AND(G36="Terminado",J36=""),"Falta fecha fin",IF(AND(I36&lt;&gt;"",J36&lt;&gt;"",J36&lt;I36),"Fechas incoherentes",IF(AND(G36="Terminado",K36=""),"Sin valorar",IF(AND(G36="Leyendo",I36=""),"Falta fecha inicio","OK")))))</f>
        <v/>
      </c>
      <c r="T36" s="34">
        <f>IF(AND(G36="Terminado",K36&lt;&gt;"",Q36=Panel!$C$9),K36+F36/100000+ROW()/10000000000,"")</f>
        <v/>
      </c>
      <c r="U36" s="29">
        <f>IF(AND(B36&lt;&gt;"",G36="Leyendo"),ROW()-6,"")</f>
        <v/>
      </c>
    </row>
    <row r="37" ht="20" customHeight="1">
      <c r="B37" s="31" t="n"/>
      <c r="C37" s="31" t="n"/>
      <c r="D37" s="31" t="n"/>
      <c r="E37" s="32" t="n"/>
      <c r="F37" s="14" t="n"/>
      <c r="G37" s="32" t="n"/>
      <c r="H37" s="14" t="n"/>
      <c r="I37" s="17" t="n"/>
      <c r="J37" s="17" t="n"/>
      <c r="K37" s="10" t="n"/>
      <c r="L37" s="31" t="n"/>
      <c r="M37" s="30">
        <f>IF(B37="","",IF(G37="Terminado",1,IF(OR(F37="",H37=""),0,MIN(1,H37/F37))))</f>
        <v/>
      </c>
      <c r="N37" s="28">
        <f>IF(OR(B37="",K37=""),"",REPT("★",K37)&amp;REPT("☆",5-K37))</f>
        <v/>
      </c>
      <c r="O37" s="33">
        <f>IF(OR(I37="",J37=""),"",IF(J37&lt;I37,"",J37-I37+1))</f>
        <v/>
      </c>
      <c r="P37" s="19">
        <f>IF(OR(O37="",F37=""),"",ROUND(F37/O37,1))</f>
        <v/>
      </c>
      <c r="Q37" s="33">
        <f>IF(AND(G37="Terminado",J37&lt;&gt;""),YEAR(J37),"")</f>
        <v/>
      </c>
      <c r="R37" s="33">
        <f>IF(AND(G37="Terminado",J37&lt;&gt;""),MONTH(J37),"")</f>
        <v/>
      </c>
      <c r="S37" s="28">
        <f>IF(B37="","",IF(AND(G37="Terminado",J37=""),"Falta fecha fin",IF(AND(I37&lt;&gt;"",J37&lt;&gt;"",J37&lt;I37),"Fechas incoherentes",IF(AND(G37="Terminado",K37=""),"Sin valorar",IF(AND(G37="Leyendo",I37=""),"Falta fecha inicio","OK")))))</f>
        <v/>
      </c>
      <c r="T37" s="34">
        <f>IF(AND(G37="Terminado",K37&lt;&gt;"",Q37=Panel!$C$9),K37+F37/100000+ROW()/10000000000,"")</f>
        <v/>
      </c>
      <c r="U37" s="29">
        <f>IF(AND(B37&lt;&gt;"",G37="Leyendo"),ROW()-6,"")</f>
        <v/>
      </c>
    </row>
    <row r="38" ht="20" customHeight="1">
      <c r="B38" s="31" t="n"/>
      <c r="C38" s="31" t="n"/>
      <c r="D38" s="31" t="n"/>
      <c r="E38" s="32" t="n"/>
      <c r="F38" s="14" t="n"/>
      <c r="G38" s="32" t="n"/>
      <c r="H38" s="14" t="n"/>
      <c r="I38" s="17" t="n"/>
      <c r="J38" s="17" t="n"/>
      <c r="K38" s="10" t="n"/>
      <c r="L38" s="31" t="n"/>
      <c r="M38" s="30">
        <f>IF(B38="","",IF(G38="Terminado",1,IF(OR(F38="",H38=""),0,MIN(1,H38/F38))))</f>
        <v/>
      </c>
      <c r="N38" s="28">
        <f>IF(OR(B38="",K38=""),"",REPT("★",K38)&amp;REPT("☆",5-K38))</f>
        <v/>
      </c>
      <c r="O38" s="33">
        <f>IF(OR(I38="",J38=""),"",IF(J38&lt;I38,"",J38-I38+1))</f>
        <v/>
      </c>
      <c r="P38" s="19">
        <f>IF(OR(O38="",F38=""),"",ROUND(F38/O38,1))</f>
        <v/>
      </c>
      <c r="Q38" s="33">
        <f>IF(AND(G38="Terminado",J38&lt;&gt;""),YEAR(J38),"")</f>
        <v/>
      </c>
      <c r="R38" s="33">
        <f>IF(AND(G38="Terminado",J38&lt;&gt;""),MONTH(J38),"")</f>
        <v/>
      </c>
      <c r="S38" s="28">
        <f>IF(B38="","",IF(AND(G38="Terminado",J38=""),"Falta fecha fin",IF(AND(I38&lt;&gt;"",J38&lt;&gt;"",J38&lt;I38),"Fechas incoherentes",IF(AND(G38="Terminado",K38=""),"Sin valorar",IF(AND(G38="Leyendo",I38=""),"Falta fecha inicio","OK")))))</f>
        <v/>
      </c>
      <c r="T38" s="34">
        <f>IF(AND(G38="Terminado",K38&lt;&gt;"",Q38=Panel!$C$9),K38+F38/100000+ROW()/10000000000,"")</f>
        <v/>
      </c>
      <c r="U38" s="29">
        <f>IF(AND(B38&lt;&gt;"",G38="Leyendo"),ROW()-6,"")</f>
        <v/>
      </c>
    </row>
    <row r="39" ht="20" customHeight="1">
      <c r="B39" s="31" t="n"/>
      <c r="C39" s="31" t="n"/>
      <c r="D39" s="31" t="n"/>
      <c r="E39" s="32" t="n"/>
      <c r="F39" s="14" t="n"/>
      <c r="G39" s="32" t="n"/>
      <c r="H39" s="14" t="n"/>
      <c r="I39" s="17" t="n"/>
      <c r="J39" s="17" t="n"/>
      <c r="K39" s="10" t="n"/>
      <c r="L39" s="31" t="n"/>
      <c r="M39" s="30">
        <f>IF(B39="","",IF(G39="Terminado",1,IF(OR(F39="",H39=""),0,MIN(1,H39/F39))))</f>
        <v/>
      </c>
      <c r="N39" s="28">
        <f>IF(OR(B39="",K39=""),"",REPT("★",K39)&amp;REPT("☆",5-K39))</f>
        <v/>
      </c>
      <c r="O39" s="33">
        <f>IF(OR(I39="",J39=""),"",IF(J39&lt;I39,"",J39-I39+1))</f>
        <v/>
      </c>
      <c r="P39" s="19">
        <f>IF(OR(O39="",F39=""),"",ROUND(F39/O39,1))</f>
        <v/>
      </c>
      <c r="Q39" s="33">
        <f>IF(AND(G39="Terminado",J39&lt;&gt;""),YEAR(J39),"")</f>
        <v/>
      </c>
      <c r="R39" s="33">
        <f>IF(AND(G39="Terminado",J39&lt;&gt;""),MONTH(J39),"")</f>
        <v/>
      </c>
      <c r="S39" s="28">
        <f>IF(B39="","",IF(AND(G39="Terminado",J39=""),"Falta fecha fin",IF(AND(I39&lt;&gt;"",J39&lt;&gt;"",J39&lt;I39),"Fechas incoherentes",IF(AND(G39="Terminado",K39=""),"Sin valorar",IF(AND(G39="Leyendo",I39=""),"Falta fecha inicio","OK")))))</f>
        <v/>
      </c>
      <c r="T39" s="34">
        <f>IF(AND(G39="Terminado",K39&lt;&gt;"",Q39=Panel!$C$9),K39+F39/100000+ROW()/10000000000,"")</f>
        <v/>
      </c>
      <c r="U39" s="29">
        <f>IF(AND(B39&lt;&gt;"",G39="Leyendo"),ROW()-6,"")</f>
        <v/>
      </c>
    </row>
    <row r="40" ht="20" customHeight="1">
      <c r="B40" s="31" t="n"/>
      <c r="C40" s="31" t="n"/>
      <c r="D40" s="31" t="n"/>
      <c r="E40" s="32" t="n"/>
      <c r="F40" s="14" t="n"/>
      <c r="G40" s="32" t="n"/>
      <c r="H40" s="14" t="n"/>
      <c r="I40" s="17" t="n"/>
      <c r="J40" s="17" t="n"/>
      <c r="K40" s="10" t="n"/>
      <c r="L40" s="31" t="n"/>
      <c r="M40" s="30">
        <f>IF(B40="","",IF(G40="Terminado",1,IF(OR(F40="",H40=""),0,MIN(1,H40/F40))))</f>
        <v/>
      </c>
      <c r="N40" s="28">
        <f>IF(OR(B40="",K40=""),"",REPT("★",K40)&amp;REPT("☆",5-K40))</f>
        <v/>
      </c>
      <c r="O40" s="33">
        <f>IF(OR(I40="",J40=""),"",IF(J40&lt;I40,"",J40-I40+1))</f>
        <v/>
      </c>
      <c r="P40" s="19">
        <f>IF(OR(O40="",F40=""),"",ROUND(F40/O40,1))</f>
        <v/>
      </c>
      <c r="Q40" s="33">
        <f>IF(AND(G40="Terminado",J40&lt;&gt;""),YEAR(J40),"")</f>
        <v/>
      </c>
      <c r="R40" s="33">
        <f>IF(AND(G40="Terminado",J40&lt;&gt;""),MONTH(J40),"")</f>
        <v/>
      </c>
      <c r="S40" s="28">
        <f>IF(B40="","",IF(AND(G40="Terminado",J40=""),"Falta fecha fin",IF(AND(I40&lt;&gt;"",J40&lt;&gt;"",J40&lt;I40),"Fechas incoherentes",IF(AND(G40="Terminado",K40=""),"Sin valorar",IF(AND(G40="Leyendo",I40=""),"Falta fecha inicio","OK")))))</f>
        <v/>
      </c>
      <c r="T40" s="34">
        <f>IF(AND(G40="Terminado",K40&lt;&gt;"",Q40=Panel!$C$9),K40+F40/100000+ROW()/10000000000,"")</f>
        <v/>
      </c>
      <c r="U40" s="29">
        <f>IF(AND(B40&lt;&gt;"",G40="Leyendo"),ROW()-6,"")</f>
        <v/>
      </c>
    </row>
    <row r="41" ht="20" customHeight="1">
      <c r="B41" s="31" t="n"/>
      <c r="C41" s="31" t="n"/>
      <c r="D41" s="31" t="n"/>
      <c r="E41" s="32" t="n"/>
      <c r="F41" s="14" t="n"/>
      <c r="G41" s="32" t="n"/>
      <c r="H41" s="14" t="n"/>
      <c r="I41" s="17" t="n"/>
      <c r="J41" s="17" t="n"/>
      <c r="K41" s="10" t="n"/>
      <c r="L41" s="31" t="n"/>
      <c r="M41" s="30">
        <f>IF(B41="","",IF(G41="Terminado",1,IF(OR(F41="",H41=""),0,MIN(1,H41/F41))))</f>
        <v/>
      </c>
      <c r="N41" s="28">
        <f>IF(OR(B41="",K41=""),"",REPT("★",K41)&amp;REPT("☆",5-K41))</f>
        <v/>
      </c>
      <c r="O41" s="33">
        <f>IF(OR(I41="",J41=""),"",IF(J41&lt;I41,"",J41-I41+1))</f>
        <v/>
      </c>
      <c r="P41" s="19">
        <f>IF(OR(O41="",F41=""),"",ROUND(F41/O41,1))</f>
        <v/>
      </c>
      <c r="Q41" s="33">
        <f>IF(AND(G41="Terminado",J41&lt;&gt;""),YEAR(J41),"")</f>
        <v/>
      </c>
      <c r="R41" s="33">
        <f>IF(AND(G41="Terminado",J41&lt;&gt;""),MONTH(J41),"")</f>
        <v/>
      </c>
      <c r="S41" s="28">
        <f>IF(B41="","",IF(AND(G41="Terminado",J41=""),"Falta fecha fin",IF(AND(I41&lt;&gt;"",J41&lt;&gt;"",J41&lt;I41),"Fechas incoherentes",IF(AND(G41="Terminado",K41=""),"Sin valorar",IF(AND(G41="Leyendo",I41=""),"Falta fecha inicio","OK")))))</f>
        <v/>
      </c>
      <c r="T41" s="34">
        <f>IF(AND(G41="Terminado",K41&lt;&gt;"",Q41=Panel!$C$9),K41+F41/100000+ROW()/10000000000,"")</f>
        <v/>
      </c>
      <c r="U41" s="29">
        <f>IF(AND(B41&lt;&gt;"",G41="Leyendo"),ROW()-6,"")</f>
        <v/>
      </c>
    </row>
    <row r="42" ht="20" customHeight="1">
      <c r="B42" s="31" t="n"/>
      <c r="C42" s="31" t="n"/>
      <c r="D42" s="31" t="n"/>
      <c r="E42" s="32" t="n"/>
      <c r="F42" s="14" t="n"/>
      <c r="G42" s="32" t="n"/>
      <c r="H42" s="14" t="n"/>
      <c r="I42" s="17" t="n"/>
      <c r="J42" s="17" t="n"/>
      <c r="K42" s="10" t="n"/>
      <c r="L42" s="31" t="n"/>
      <c r="M42" s="30">
        <f>IF(B42="","",IF(G42="Terminado",1,IF(OR(F42="",H42=""),0,MIN(1,H42/F42))))</f>
        <v/>
      </c>
      <c r="N42" s="28">
        <f>IF(OR(B42="",K42=""),"",REPT("★",K42)&amp;REPT("☆",5-K42))</f>
        <v/>
      </c>
      <c r="O42" s="33">
        <f>IF(OR(I42="",J42=""),"",IF(J42&lt;I42,"",J42-I42+1))</f>
        <v/>
      </c>
      <c r="P42" s="19">
        <f>IF(OR(O42="",F42=""),"",ROUND(F42/O42,1))</f>
        <v/>
      </c>
      <c r="Q42" s="33">
        <f>IF(AND(G42="Terminado",J42&lt;&gt;""),YEAR(J42),"")</f>
        <v/>
      </c>
      <c r="R42" s="33">
        <f>IF(AND(G42="Terminado",J42&lt;&gt;""),MONTH(J42),"")</f>
        <v/>
      </c>
      <c r="S42" s="28">
        <f>IF(B42="","",IF(AND(G42="Terminado",J42=""),"Falta fecha fin",IF(AND(I42&lt;&gt;"",J42&lt;&gt;"",J42&lt;I42),"Fechas incoherentes",IF(AND(G42="Terminado",K42=""),"Sin valorar",IF(AND(G42="Leyendo",I42=""),"Falta fecha inicio","OK")))))</f>
        <v/>
      </c>
      <c r="T42" s="34">
        <f>IF(AND(G42="Terminado",K42&lt;&gt;"",Q42=Panel!$C$9),K42+F42/100000+ROW()/10000000000,"")</f>
        <v/>
      </c>
      <c r="U42" s="29">
        <f>IF(AND(B42&lt;&gt;"",G42="Leyendo"),ROW()-6,"")</f>
        <v/>
      </c>
    </row>
    <row r="43" ht="20" customHeight="1">
      <c r="B43" s="31" t="n"/>
      <c r="C43" s="31" t="n"/>
      <c r="D43" s="31" t="n"/>
      <c r="E43" s="32" t="n"/>
      <c r="F43" s="14" t="n"/>
      <c r="G43" s="32" t="n"/>
      <c r="H43" s="14" t="n"/>
      <c r="I43" s="17" t="n"/>
      <c r="J43" s="17" t="n"/>
      <c r="K43" s="10" t="n"/>
      <c r="L43" s="31" t="n"/>
      <c r="M43" s="30">
        <f>IF(B43="","",IF(G43="Terminado",1,IF(OR(F43="",H43=""),0,MIN(1,H43/F43))))</f>
        <v/>
      </c>
      <c r="N43" s="28">
        <f>IF(OR(B43="",K43=""),"",REPT("★",K43)&amp;REPT("☆",5-K43))</f>
        <v/>
      </c>
      <c r="O43" s="33">
        <f>IF(OR(I43="",J43=""),"",IF(J43&lt;I43,"",J43-I43+1))</f>
        <v/>
      </c>
      <c r="P43" s="19">
        <f>IF(OR(O43="",F43=""),"",ROUND(F43/O43,1))</f>
        <v/>
      </c>
      <c r="Q43" s="33">
        <f>IF(AND(G43="Terminado",J43&lt;&gt;""),YEAR(J43),"")</f>
        <v/>
      </c>
      <c r="R43" s="33">
        <f>IF(AND(G43="Terminado",J43&lt;&gt;""),MONTH(J43),"")</f>
        <v/>
      </c>
      <c r="S43" s="28">
        <f>IF(B43="","",IF(AND(G43="Terminado",J43=""),"Falta fecha fin",IF(AND(I43&lt;&gt;"",J43&lt;&gt;"",J43&lt;I43),"Fechas incoherentes",IF(AND(G43="Terminado",K43=""),"Sin valorar",IF(AND(G43="Leyendo",I43=""),"Falta fecha inicio","OK")))))</f>
        <v/>
      </c>
      <c r="T43" s="34">
        <f>IF(AND(G43="Terminado",K43&lt;&gt;"",Q43=Panel!$C$9),K43+F43/100000+ROW()/10000000000,"")</f>
        <v/>
      </c>
      <c r="U43" s="29">
        <f>IF(AND(B43&lt;&gt;"",G43="Leyendo"),ROW()-6,"")</f>
        <v/>
      </c>
    </row>
    <row r="44" ht="20" customHeight="1">
      <c r="B44" s="31" t="n"/>
      <c r="C44" s="31" t="n"/>
      <c r="D44" s="31" t="n"/>
      <c r="E44" s="32" t="n"/>
      <c r="F44" s="14" t="n"/>
      <c r="G44" s="32" t="n"/>
      <c r="H44" s="14" t="n"/>
      <c r="I44" s="17" t="n"/>
      <c r="J44" s="17" t="n"/>
      <c r="K44" s="10" t="n"/>
      <c r="L44" s="31" t="n"/>
      <c r="M44" s="30">
        <f>IF(B44="","",IF(G44="Terminado",1,IF(OR(F44="",H44=""),0,MIN(1,H44/F44))))</f>
        <v/>
      </c>
      <c r="N44" s="28">
        <f>IF(OR(B44="",K44=""),"",REPT("★",K44)&amp;REPT("☆",5-K44))</f>
        <v/>
      </c>
      <c r="O44" s="33">
        <f>IF(OR(I44="",J44=""),"",IF(J44&lt;I44,"",J44-I44+1))</f>
        <v/>
      </c>
      <c r="P44" s="19">
        <f>IF(OR(O44="",F44=""),"",ROUND(F44/O44,1))</f>
        <v/>
      </c>
      <c r="Q44" s="33">
        <f>IF(AND(G44="Terminado",J44&lt;&gt;""),YEAR(J44),"")</f>
        <v/>
      </c>
      <c r="R44" s="33">
        <f>IF(AND(G44="Terminado",J44&lt;&gt;""),MONTH(J44),"")</f>
        <v/>
      </c>
      <c r="S44" s="28">
        <f>IF(B44="","",IF(AND(G44="Terminado",J44=""),"Falta fecha fin",IF(AND(I44&lt;&gt;"",J44&lt;&gt;"",J44&lt;I44),"Fechas incoherentes",IF(AND(G44="Terminado",K44=""),"Sin valorar",IF(AND(G44="Leyendo",I44=""),"Falta fecha inicio","OK")))))</f>
        <v/>
      </c>
      <c r="T44" s="34">
        <f>IF(AND(G44="Terminado",K44&lt;&gt;"",Q44=Panel!$C$9),K44+F44/100000+ROW()/10000000000,"")</f>
        <v/>
      </c>
      <c r="U44" s="29">
        <f>IF(AND(B44&lt;&gt;"",G44="Leyendo"),ROW()-6,"")</f>
        <v/>
      </c>
    </row>
    <row r="45" ht="20" customHeight="1">
      <c r="B45" s="31" t="n"/>
      <c r="C45" s="31" t="n"/>
      <c r="D45" s="31" t="n"/>
      <c r="E45" s="32" t="n"/>
      <c r="F45" s="14" t="n"/>
      <c r="G45" s="32" t="n"/>
      <c r="H45" s="14" t="n"/>
      <c r="I45" s="17" t="n"/>
      <c r="J45" s="17" t="n"/>
      <c r="K45" s="10" t="n"/>
      <c r="L45" s="31" t="n"/>
      <c r="M45" s="30">
        <f>IF(B45="","",IF(G45="Terminado",1,IF(OR(F45="",H45=""),0,MIN(1,H45/F45))))</f>
        <v/>
      </c>
      <c r="N45" s="28">
        <f>IF(OR(B45="",K45=""),"",REPT("★",K45)&amp;REPT("☆",5-K45))</f>
        <v/>
      </c>
      <c r="O45" s="33">
        <f>IF(OR(I45="",J45=""),"",IF(J45&lt;I45,"",J45-I45+1))</f>
        <v/>
      </c>
      <c r="P45" s="19">
        <f>IF(OR(O45="",F45=""),"",ROUND(F45/O45,1))</f>
        <v/>
      </c>
      <c r="Q45" s="33">
        <f>IF(AND(G45="Terminado",J45&lt;&gt;""),YEAR(J45),"")</f>
        <v/>
      </c>
      <c r="R45" s="33">
        <f>IF(AND(G45="Terminado",J45&lt;&gt;""),MONTH(J45),"")</f>
        <v/>
      </c>
      <c r="S45" s="28">
        <f>IF(B45="","",IF(AND(G45="Terminado",J45=""),"Falta fecha fin",IF(AND(I45&lt;&gt;"",J45&lt;&gt;"",J45&lt;I45),"Fechas incoherentes",IF(AND(G45="Terminado",K45=""),"Sin valorar",IF(AND(G45="Leyendo",I45=""),"Falta fecha inicio","OK")))))</f>
        <v/>
      </c>
      <c r="T45" s="34">
        <f>IF(AND(G45="Terminado",K45&lt;&gt;"",Q45=Panel!$C$9),K45+F45/100000+ROW()/10000000000,"")</f>
        <v/>
      </c>
      <c r="U45" s="29">
        <f>IF(AND(B45&lt;&gt;"",G45="Leyendo"),ROW()-6,"")</f>
        <v/>
      </c>
    </row>
    <row r="46" ht="20" customHeight="1">
      <c r="B46" s="31" t="n"/>
      <c r="C46" s="31" t="n"/>
      <c r="D46" s="31" t="n"/>
      <c r="E46" s="32" t="n"/>
      <c r="F46" s="14" t="n"/>
      <c r="G46" s="32" t="n"/>
      <c r="H46" s="14" t="n"/>
      <c r="I46" s="17" t="n"/>
      <c r="J46" s="17" t="n"/>
      <c r="K46" s="10" t="n"/>
      <c r="L46" s="31" t="n"/>
      <c r="M46" s="30">
        <f>IF(B46="","",IF(G46="Terminado",1,IF(OR(F46="",H46=""),0,MIN(1,H46/F46))))</f>
        <v/>
      </c>
      <c r="N46" s="28">
        <f>IF(OR(B46="",K46=""),"",REPT("★",K46)&amp;REPT("☆",5-K46))</f>
        <v/>
      </c>
      <c r="O46" s="33">
        <f>IF(OR(I46="",J46=""),"",IF(J46&lt;I46,"",J46-I46+1))</f>
        <v/>
      </c>
      <c r="P46" s="19">
        <f>IF(OR(O46="",F46=""),"",ROUND(F46/O46,1))</f>
        <v/>
      </c>
      <c r="Q46" s="33">
        <f>IF(AND(G46="Terminado",J46&lt;&gt;""),YEAR(J46),"")</f>
        <v/>
      </c>
      <c r="R46" s="33">
        <f>IF(AND(G46="Terminado",J46&lt;&gt;""),MONTH(J46),"")</f>
        <v/>
      </c>
      <c r="S46" s="28">
        <f>IF(B46="","",IF(AND(G46="Terminado",J46=""),"Falta fecha fin",IF(AND(I46&lt;&gt;"",J46&lt;&gt;"",J46&lt;I46),"Fechas incoherentes",IF(AND(G46="Terminado",K46=""),"Sin valorar",IF(AND(G46="Leyendo",I46=""),"Falta fecha inicio","OK")))))</f>
        <v/>
      </c>
      <c r="T46" s="34">
        <f>IF(AND(G46="Terminado",K46&lt;&gt;"",Q46=Panel!$C$9),K46+F46/100000+ROW()/10000000000,"")</f>
        <v/>
      </c>
      <c r="U46" s="29">
        <f>IF(AND(B46&lt;&gt;"",G46="Leyendo"),ROW()-6,"")</f>
        <v/>
      </c>
    </row>
    <row r="48">
      <c r="B48" s="20" t="inlineStr">
        <is>
          <t>Hasta la fila 46. «Orden aux.» y «Leyendo aux.» alimentan las listas del Panel: no las modifiques.</t>
        </is>
      </c>
    </row>
    <row r="49">
      <c r="B49" s="20" t="inlineStr">
        <is>
          <t>Cuenta como libro leído solo el que está en estado «Terminado» y tiene fecha de fin: esa fecha decide el mes y el año en que suma.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S3"/>
    <mergeCell ref="B2:S2"/>
  </mergeCells>
  <conditionalFormatting sqref="G7:G46">
    <cfRule type="cellIs" priority="1" operator="equal" dxfId="0">
      <formula>"Terminado"</formula>
    </cfRule>
    <cfRule type="cellIs" priority="2" operator="equal" dxfId="1">
      <formula>"Leyendo"</formula>
    </cfRule>
    <cfRule type="cellIs" priority="3" operator="equal" dxfId="2">
      <formula>"Abandonado"</formula>
    </cfRule>
  </conditionalFormatting>
  <conditionalFormatting sqref="S7:S46">
    <cfRule type="expression" priority="4" dxfId="2">
      <formula>AND(S7&lt;&gt;"",S7&lt;&gt;"OK")</formula>
    </cfRule>
  </conditionalFormatting>
  <conditionalFormatting sqref="M7:M46">
    <cfRule type="dataBar" priority="5">
      <dataBar>
        <cfvo type="num" val="0"/>
        <cfvo type="max"/>
        <color rgb="0010B981"/>
      </dataBar>
    </cfRule>
  </conditionalFormatting>
  <dataValidations count="6">
    <dataValidation sqref="D7:D46" showDropDown="0" showInputMessage="0" showErrorMessage="0" allowBlank="1" type="list">
      <formula1>=Listas!$A$2:$A$9</formula1>
    </dataValidation>
    <dataValidation sqref="E7:E46" showDropDown="0" showInputMessage="0" showErrorMessage="0" allowBlank="1" type="list">
      <formula1>=Listas!$C$2:$C$4</formula1>
    </dataValidation>
    <dataValidation sqref="G7:G46" showDropDown="0" showInputMessage="0" showErrorMessage="0" allowBlank="1" type="list">
      <formula1>=Listas!$B$2:$B$5</formula1>
    </dataValidation>
    <dataValidation sqref="K7:K46" showDropDown="0" showInputMessage="0" showErrorMessage="0" allowBlank="1" errorTitle="Valoración" error="Escribe un número entero del 1 al 5." type="whole" operator="between">
      <formula1>1</formula1>
      <formula2>5</formula2>
    </dataValidation>
    <dataValidation sqref="F7:F46" showDropDown="0" showInputMessage="0" showErrorMessage="0" allowBlank="1" errorTitle="Páginas" error="Escribe un número entero mayor que 0." type="whole" operator="greaterThan">
      <formula1>0</formula1>
    </dataValidation>
    <dataValidation sqref="I7:J46" showDropDown="0" showInputMessage="0" showErrorMessage="0" allowBlank="1" errorTitle="Fecha" error="Escribe una fecha válida (dd/mm/aaaa)." type="date" operator="greaterThan">
      <formula1>36526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registro de lectura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35" t="inlineStr">
        <is>
          <t>1.  En la hoja «Panel» fija tu objetivo anual: año, número de libros y número de páginas. Hay valores de ejemplo que debes sustituir por los tuyos.</t>
        </is>
      </c>
    </row>
    <row r="7" ht="30" customHeight="1">
      <c r="B7" s="35" t="inlineStr">
        <is>
          <t>2.  En «Libros» añade una fila por cada libro: título, autor/a, género, formato (desplegables) y número de páginas.</t>
        </is>
      </c>
    </row>
    <row r="8" ht="30" customHeight="1">
      <c r="B8" s="35" t="inlineStr">
        <is>
          <t>3.  Elige el estado: Pendiente, Leyendo, Terminado o Abandonado. Si lo estás leyendo, apunta las páginas leídas para ver el progreso.</t>
        </is>
      </c>
    </row>
    <row r="9" ht="30" customHeight="1">
      <c r="B9" s="35" t="inlineStr">
        <is>
          <t>4.  Cuando empieces el libro escribe la fecha de inicio; al terminarlo, la fecha de fin y tu valoración de 1 a 5 (las estrellas se dibujan solas).</t>
        </is>
      </c>
    </row>
    <row r="10" ht="30" customHeight="1">
      <c r="B10" s="35" t="inlineStr">
        <is>
          <t>5.  El libro suma al objetivo solo si su estado es «Terminado» y tiene fecha de fin: esa fecha decide el mes y el año.</t>
        </is>
      </c>
    </row>
    <row r="11" ht="30" customHeight="1">
      <c r="B11" s="35" t="inlineStr">
        <is>
          <t>6.  Mira la columna «Aviso»: te indica si falta una fecha, hay fechas incoherentes o un libro terminado sin valorar.</t>
        </is>
      </c>
    </row>
    <row r="12" ht="30" customHeight="1">
      <c r="B12" s="35" t="inlineStr">
        <is>
          <t>7.  Abre el «Panel»: KPIs, progreso con barra, libros esperados a la fecha, páginas por mes, géneros, mejores valorados y lectura en curso.</t>
        </is>
      </c>
    </row>
    <row r="13" ht="30" customHeight="1">
      <c r="B13" s="35" t="inlineStr">
        <is>
          <t>8.  Hay espacio para 40 libros. Cuando se llene, guarda una copia del archivo por año o copia la última fila hacia abajo.</t>
        </is>
      </c>
    </row>
    <row r="15">
      <c r="B15" s="8" t="inlineStr">
        <is>
          <t>CONSEJOS</t>
        </is>
      </c>
    </row>
    <row r="16" ht="30" customHeight="1">
      <c r="B16" s="35" t="inlineStr">
        <is>
          <t>•  Las hojas están protegidas sin contraseña: solo se pueden editar las celdas crema. Para cambiar fórmulas, ve a Revisar &gt; Desproteger hoja.</t>
        </is>
      </c>
    </row>
    <row r="17" ht="30" customHeight="1">
      <c r="B17" s="35" t="inlineStr">
        <is>
          <t>•  Los géneros, estados y formatos se editan en la hoja oculta «Listas» (clic derecho sobre una pestaña &gt; Mostrar). Mantén los 8 géneros para que el Panel los recoja.</t>
        </is>
      </c>
    </row>
    <row r="18" ht="30" customHeight="1">
      <c r="B18" s="35" t="inlineStr">
        <is>
          <t>•  Las páginas de un libro se cuentan en el mes de su fecha de fin, aunque lo hayas leído a caballo entre dos meses.</t>
        </is>
      </c>
    </row>
    <row r="19" ht="30" customHeight="1">
      <c r="B19" s="35" t="inlineStr">
        <is>
          <t>•  Para ver la lectura de otro año, cambia «Año del objetivo» en el Panel; la tabla «Libros por año» compara los tres últimos.</t>
        </is>
      </c>
    </row>
    <row r="20" ht="18" customHeight="1">
      <c r="B20" s="35" t="inlineStr">
        <is>
          <t>•  Borra la fecha de referencia del Panel para que el ritmo se calcule con la fecha de hoy.</t>
        </is>
      </c>
    </row>
    <row r="22">
      <c r="B22" s="20" t="inlineStr">
        <is>
          <t>Las celdas con fondo crema y texto azul son para rellenar; las verdes se calculan solas.</t>
        </is>
      </c>
    </row>
    <row r="24" ht="44" customHeight="1">
      <c r="B24" s="36" t="inlineStr">
        <is>
          <t>Aviso: esta plantilla sirve para registrar y organizar tus lecturas. El objetivo anual, el ritmo y las valoraciones son orientativos y personales. Los libros de ejemplo son solo ilustrativos y las fechas y valoraciones son ficticias.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Género</t>
        </is>
      </c>
      <c r="B1" t="inlineStr">
        <is>
          <t>Estado</t>
        </is>
      </c>
      <c r="C1" t="inlineStr">
        <is>
          <t>Formato</t>
        </is>
      </c>
    </row>
    <row r="2">
      <c r="A2" t="inlineStr">
        <is>
          <t>Novela</t>
        </is>
      </c>
      <c r="B2" t="inlineStr">
        <is>
          <t>Pendiente</t>
        </is>
      </c>
      <c r="C2" t="inlineStr">
        <is>
          <t>Papel</t>
        </is>
      </c>
    </row>
    <row r="3">
      <c r="A3" t="inlineStr">
        <is>
          <t>Ciencia ficción</t>
        </is>
      </c>
      <c r="B3" t="inlineStr">
        <is>
          <t>Leyendo</t>
        </is>
      </c>
      <c r="C3" t="inlineStr">
        <is>
          <t>Ebook</t>
        </is>
      </c>
    </row>
    <row r="4">
      <c r="A4" t="inlineStr">
        <is>
          <t>Fantasía</t>
        </is>
      </c>
      <c r="B4" t="inlineStr">
        <is>
          <t>Terminado</t>
        </is>
      </c>
      <c r="C4" t="inlineStr">
        <is>
          <t>Audiolibro</t>
        </is>
      </c>
    </row>
    <row r="5">
      <c r="A5" t="inlineStr">
        <is>
          <t>Misterio y thriller</t>
        </is>
      </c>
      <c r="B5" t="inlineStr">
        <is>
          <t>Abandonado</t>
        </is>
      </c>
    </row>
    <row r="6">
      <c r="A6" t="inlineStr">
        <is>
          <t>Ensayo</t>
        </is>
      </c>
    </row>
    <row r="7">
      <c r="A7" t="inlineStr">
        <is>
          <t>Historia y biografía</t>
        </is>
      </c>
    </row>
    <row r="8">
      <c r="A8" t="inlineStr">
        <is>
          <t>Desarrollo personal</t>
        </is>
      </c>
    </row>
    <row r="9">
      <c r="A9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2026-10-02T13:04:49Z</dcterms:created>
  <dcterms:modified xmlns:dcterms="http://purl.org/dc/terms/" xmlns:xsi="http://www.w3.org/2001/XMLSchema-instance" xsi:type="dcterms:W3CDTF">2026-10-02T13:04:49Z</dcterms:modified>
</cp:coreProperties>
</file>