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Plantas" sheetId="2" state="visible" r:id="rId2"/>
    <sheet xmlns:r="http://schemas.openxmlformats.org/officeDocument/2006/relationships" name="Agenda 14 días" sheetId="3" state="visible" r:id="rId3"/>
    <sheet xmlns:r="http://schemas.openxmlformats.org/officeDocument/2006/relationships" name="Instrucciones" sheetId="4" state="visible" r:id="rId4"/>
    <sheet xmlns:r="http://schemas.openxmlformats.org/officeDocument/2006/relationships" name="Listas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"/>
    <numFmt numFmtId="166" formatCode="0.0%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b val="1"/>
      <color rgb="00FFFFFF"/>
      <sz val="10"/>
    </font>
    <font>
      <name val="Arial"/>
      <color rgb="00047857"/>
      <sz val="10"/>
    </font>
    <font>
      <name val="Arial"/>
      <color rgb="006B7280"/>
      <sz val="9"/>
    </font>
    <font>
      <name val="Arial"/>
      <b val="1"/>
      <color rgb="000B4A2F"/>
      <sz val="11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9" fillId="6" borderId="0" applyAlignment="1" pivotButton="0" quotePrefix="0" xfId="0">
      <alignment horizontal="center" vertical="center" wrapText="1"/>
    </xf>
    <xf numFmtId="3" fontId="10" fillId="6" borderId="0" applyAlignment="1" pivotButton="0" quotePrefix="0" xfId="0">
      <alignment horizontal="center" vertical="center"/>
    </xf>
    <xf numFmtId="165" fontId="10" fillId="6" borderId="0" applyAlignment="1" pivotButton="0" quotePrefix="0" xfId="0">
      <alignment horizontal="center" vertical="center"/>
    </xf>
    <xf numFmtId="166" fontId="10" fillId="6" borderId="0" applyAlignment="1" pivotButton="0" quotePrefix="0" xfId="0">
      <alignment horizontal="center" vertical="center"/>
    </xf>
    <xf numFmtId="0" fontId="11" fillId="0" borderId="0" applyAlignment="1" pivotButton="0" quotePrefix="0" xfId="0">
      <alignment vertical="center"/>
    </xf>
    <xf numFmtId="0" fontId="5" fillId="4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center"/>
    </xf>
    <xf numFmtId="3" fontId="6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3" fontId="8" fillId="5" borderId="1" applyAlignment="1" pivotButton="0" quotePrefix="0" xfId="0">
      <alignment vertical="center"/>
    </xf>
    <xf numFmtId="165" fontId="6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164" fontId="6" fillId="0" borderId="1" applyAlignment="1" pivotButton="0" quotePrefix="0" xfId="0">
      <alignment horizontal="center" vertical="center"/>
    </xf>
    <xf numFmtId="1" fontId="6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 vertical="center"/>
    </xf>
    <xf numFmtId="164" fontId="4" fillId="3" borderId="1" applyAlignment="1" applyProtection="1" pivotButton="0" quotePrefix="0" xfId="0">
      <alignment horizontal="center" vertical="center"/>
      <protection locked="0" hidden="0"/>
    </xf>
    <xf numFmtId="1" fontId="4" fillId="3" borderId="1" applyAlignment="1" applyProtection="1" pivotButton="0" quotePrefix="0" xfId="0">
      <alignment horizontal="center" vertical="center"/>
      <protection locked="0" hidden="0"/>
    </xf>
    <xf numFmtId="0" fontId="4" fillId="3" borderId="1" applyAlignment="1" applyProtection="1" pivotButton="0" quotePrefix="0" xfId="0">
      <alignment vertical="center"/>
      <protection locked="0" hidden="0"/>
    </xf>
    <xf numFmtId="0" fontId="4" fillId="3" borderId="1" applyAlignment="1" applyProtection="1" pivotButton="0" quotePrefix="0" xfId="0">
      <alignment horizontal="center" vertical="center"/>
      <protection locked="0" hidden="0"/>
    </xf>
    <xf numFmtId="1" fontId="7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/>
    </xf>
    <xf numFmtId="0" fontId="8" fillId="5" borderId="1" applyAlignment="1" pivotButton="0" quotePrefix="0" xfId="0">
      <alignment vertical="center"/>
    </xf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5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1D4ED8"/>
      </font>
      <fill>
        <patternFill patternType="solid">
          <fgColor rgb="00DBEAFE"/>
          <bgColor rgb="00DBEAFE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ill>
        <patternFill patternType="solid">
          <fgColor rgb="00F3F4F6"/>
          <b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Plantas por ubicación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'Panel'!C12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'Panel'!$B$13:$B$20</f>
            </numRef>
          </cat>
          <val>
            <numRef>
              <f>'Panel'!$C$13:$C$20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Riegos programados por día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'Agenda 14 días'!D6</f>
            </strRef>
          </tx>
          <spPr>
            <a:ln xmlns:a="http://schemas.openxmlformats.org/drawingml/2006/main">
              <a:prstDash val="solid"/>
            </a:ln>
          </spPr>
          <cat>
            <numRef>
              <f>'Agenda 14 días'!$B$7:$B$20</f>
            </numRef>
          </cat>
          <val>
            <numRef>
              <f>'Agenda 14 días'!$D$7:$D$20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10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6</col>
      <colOff>0</colOff>
      <row>4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I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" customWidth="1" min="1" max="1"/>
    <col width="2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4" customHeight="1">
      <c r="B2" s="1" t="inlineStr">
        <is>
          <t>Panel de mis plantas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Resumen de riegos, abonados y trasplantes. Se actualiza solo desde la hoja Plantas.</t>
        </is>
      </c>
    </row>
    <row r="5" ht="24" customHeight="1">
      <c r="B5" s="4" t="inlineStr">
        <is>
          <t>PLANTAS REGISTRADAS</t>
        </is>
      </c>
      <c r="D5" s="4" t="inlineStr">
        <is>
          <t>RIEGO ATRASADO</t>
        </is>
      </c>
      <c r="F5" s="4" t="inlineStr">
        <is>
          <t>REGAR HOY</t>
        </is>
      </c>
      <c r="H5" s="4" t="inlineStr">
        <is>
          <t>PRÓXIMOS DÍAS</t>
        </is>
      </c>
    </row>
    <row r="6" ht="34" customHeight="1">
      <c r="B6" s="5">
        <f>COUNTA(Plantas!$B$7:$B$46)</f>
        <v/>
      </c>
      <c r="D6" s="5">
        <f>COUNTIF(Plantas!$J$7:$J$46,"Atrasada")</f>
        <v/>
      </c>
      <c r="F6" s="5">
        <f>COUNTIF(Plantas!$J$7:$J$46,"Hoy")</f>
        <v/>
      </c>
      <c r="H6" s="5">
        <f>COUNTIF(Plantas!$J$7:$J$46,"Próximos días")</f>
        <v/>
      </c>
    </row>
    <row r="8" ht="24" customHeight="1">
      <c r="B8" s="4" t="inlineStr">
        <is>
          <t>TOCA ABONAR</t>
        </is>
      </c>
      <c r="D8" s="4" t="inlineStr">
        <is>
          <t>TRASPLANTES PENDIENTES</t>
        </is>
      </c>
      <c r="F8" s="4" t="inlineStr">
        <is>
          <t>RIEGO MEDIO (DÍAS)</t>
        </is>
      </c>
      <c r="H8" s="4" t="inlineStr">
        <is>
          <t>% SIN RIEGO ATRASADO</t>
        </is>
      </c>
    </row>
    <row r="9" ht="34" customHeight="1">
      <c r="B9" s="5">
        <f>COUNTIF(Plantas!$N$7:$N$46,"Toca abonar")</f>
        <v/>
      </c>
      <c r="D9" s="5">
        <f>COUNTIF(Plantas!$R$7:$R$46,"Toca trasplantar")</f>
        <v/>
      </c>
      <c r="F9" s="6">
        <f>IF(B6=0,0,ROUND(SUM(Plantas!$F$7:$F$46)/B6,1))</f>
        <v/>
      </c>
      <c r="H9" s="7">
        <f>IF(B6=0,0,(B6-D6)/B6)</f>
        <v/>
      </c>
    </row>
    <row r="11">
      <c r="B11" s="8" t="inlineStr">
        <is>
          <t>POR UBICACIÓN</t>
        </is>
      </c>
    </row>
    <row r="12" ht="34" customHeight="1">
      <c r="B12" s="9" t="inlineStr">
        <is>
          <t>Ubicación</t>
        </is>
      </c>
      <c r="C12" s="9" t="inlineStr">
        <is>
          <t>Plantas</t>
        </is>
      </c>
      <c r="D12" s="9" t="inlineStr">
        <is>
          <t>Riego atrasado</t>
        </is>
      </c>
      <c r="E12" s="9" t="inlineStr">
        <is>
          <t>Regar hoy</t>
        </is>
      </c>
      <c r="F12" s="9" t="inlineStr">
        <is>
          <t>Toca abonar</t>
        </is>
      </c>
    </row>
    <row r="13">
      <c r="B13" s="10">
        <f>Listas!A2</f>
        <v/>
      </c>
      <c r="C13" s="11">
        <f>COUNTIF(Plantas!$D$7:$D$46,B13)</f>
        <v/>
      </c>
      <c r="D13" s="11">
        <f>COUNTIFS(Plantas!$D$7:$D$46,B13,Plantas!$J$7:$J$46,"Atrasada")</f>
        <v/>
      </c>
      <c r="E13" s="11">
        <f>COUNTIFS(Plantas!$D$7:$D$46,B13,Plantas!$J$7:$J$46,"Hoy")</f>
        <v/>
      </c>
      <c r="F13" s="11">
        <f>COUNTIFS(Plantas!$D$7:$D$46,B13,Plantas!$N$7:$N$46,"Toca abonar")</f>
        <v/>
      </c>
    </row>
    <row r="14">
      <c r="B14" s="10">
        <f>Listas!A3</f>
        <v/>
      </c>
      <c r="C14" s="11">
        <f>COUNTIF(Plantas!$D$7:$D$46,B14)</f>
        <v/>
      </c>
      <c r="D14" s="11">
        <f>COUNTIFS(Plantas!$D$7:$D$46,B14,Plantas!$J$7:$J$46,"Atrasada")</f>
        <v/>
      </c>
      <c r="E14" s="11">
        <f>COUNTIFS(Plantas!$D$7:$D$46,B14,Plantas!$J$7:$J$46,"Hoy")</f>
        <v/>
      </c>
      <c r="F14" s="11">
        <f>COUNTIFS(Plantas!$D$7:$D$46,B14,Plantas!$N$7:$N$46,"Toca abonar")</f>
        <v/>
      </c>
    </row>
    <row r="15">
      <c r="B15" s="10">
        <f>Listas!A4</f>
        <v/>
      </c>
      <c r="C15" s="11">
        <f>COUNTIF(Plantas!$D$7:$D$46,B15)</f>
        <v/>
      </c>
      <c r="D15" s="11">
        <f>COUNTIFS(Plantas!$D$7:$D$46,B15,Plantas!$J$7:$J$46,"Atrasada")</f>
        <v/>
      </c>
      <c r="E15" s="11">
        <f>COUNTIFS(Plantas!$D$7:$D$46,B15,Plantas!$J$7:$J$46,"Hoy")</f>
        <v/>
      </c>
      <c r="F15" s="11">
        <f>COUNTIFS(Plantas!$D$7:$D$46,B15,Plantas!$N$7:$N$46,"Toca abonar")</f>
        <v/>
      </c>
    </row>
    <row r="16">
      <c r="B16" s="10">
        <f>Listas!A5</f>
        <v/>
      </c>
      <c r="C16" s="11">
        <f>COUNTIF(Plantas!$D$7:$D$46,B16)</f>
        <v/>
      </c>
      <c r="D16" s="11">
        <f>COUNTIFS(Plantas!$D$7:$D$46,B16,Plantas!$J$7:$J$46,"Atrasada")</f>
        <v/>
      </c>
      <c r="E16" s="11">
        <f>COUNTIFS(Plantas!$D$7:$D$46,B16,Plantas!$J$7:$J$46,"Hoy")</f>
        <v/>
      </c>
      <c r="F16" s="11">
        <f>COUNTIFS(Plantas!$D$7:$D$46,B16,Plantas!$N$7:$N$46,"Toca abonar")</f>
        <v/>
      </c>
    </row>
    <row r="17">
      <c r="B17" s="10">
        <f>Listas!A6</f>
        <v/>
      </c>
      <c r="C17" s="11">
        <f>COUNTIF(Plantas!$D$7:$D$46,B17)</f>
        <v/>
      </c>
      <c r="D17" s="11">
        <f>COUNTIFS(Plantas!$D$7:$D$46,B17,Plantas!$J$7:$J$46,"Atrasada")</f>
        <v/>
      </c>
      <c r="E17" s="11">
        <f>COUNTIFS(Plantas!$D$7:$D$46,B17,Plantas!$J$7:$J$46,"Hoy")</f>
        <v/>
      </c>
      <c r="F17" s="11">
        <f>COUNTIFS(Plantas!$D$7:$D$46,B17,Plantas!$N$7:$N$46,"Toca abonar")</f>
        <v/>
      </c>
    </row>
    <row r="18">
      <c r="B18" s="10">
        <f>Listas!A7</f>
        <v/>
      </c>
      <c r="C18" s="11">
        <f>COUNTIF(Plantas!$D$7:$D$46,B18)</f>
        <v/>
      </c>
      <c r="D18" s="11">
        <f>COUNTIFS(Plantas!$D$7:$D$46,B18,Plantas!$J$7:$J$46,"Atrasada")</f>
        <v/>
      </c>
      <c r="E18" s="11">
        <f>COUNTIFS(Plantas!$D$7:$D$46,B18,Plantas!$J$7:$J$46,"Hoy")</f>
        <v/>
      </c>
      <c r="F18" s="11">
        <f>COUNTIFS(Plantas!$D$7:$D$46,B18,Plantas!$N$7:$N$46,"Toca abonar")</f>
        <v/>
      </c>
    </row>
    <row r="19">
      <c r="B19" s="10">
        <f>Listas!A8</f>
        <v/>
      </c>
      <c r="C19" s="11">
        <f>COUNTIF(Plantas!$D$7:$D$46,B19)</f>
        <v/>
      </c>
      <c r="D19" s="11">
        <f>COUNTIFS(Plantas!$D$7:$D$46,B19,Plantas!$J$7:$J$46,"Atrasada")</f>
        <v/>
      </c>
      <c r="E19" s="11">
        <f>COUNTIFS(Plantas!$D$7:$D$46,B19,Plantas!$J$7:$J$46,"Hoy")</f>
        <v/>
      </c>
      <c r="F19" s="11">
        <f>COUNTIFS(Plantas!$D$7:$D$46,B19,Plantas!$N$7:$N$46,"Toca abonar")</f>
        <v/>
      </c>
    </row>
    <row r="20">
      <c r="B20" s="10">
        <f>Listas!A9</f>
        <v/>
      </c>
      <c r="C20" s="11">
        <f>COUNTIF(Plantas!$D$7:$D$46,B20)</f>
        <v/>
      </c>
      <c r="D20" s="11">
        <f>COUNTIFS(Plantas!$D$7:$D$46,B20,Plantas!$J$7:$J$46,"Atrasada")</f>
        <v/>
      </c>
      <c r="E20" s="11">
        <f>COUNTIFS(Plantas!$D$7:$D$46,B20,Plantas!$J$7:$J$46,"Hoy")</f>
        <v/>
      </c>
      <c r="F20" s="11">
        <f>COUNTIFS(Plantas!$D$7:$D$46,B20,Plantas!$N$7:$N$46,"Toca abonar")</f>
        <v/>
      </c>
    </row>
    <row r="21">
      <c r="B21" s="12" t="inlineStr">
        <is>
          <t>Total</t>
        </is>
      </c>
      <c r="C21" s="13">
        <f>SUM(C13:C20)</f>
        <v/>
      </c>
      <c r="D21" s="13">
        <f>SUM(D13:D20)</f>
        <v/>
      </c>
      <c r="E21" s="13">
        <f>SUM(E13:E20)</f>
        <v/>
      </c>
      <c r="F21" s="13">
        <f>SUM(F13:F20)</f>
        <v/>
      </c>
    </row>
    <row r="23">
      <c r="B23" s="8" t="inlineStr">
        <is>
          <t>POR TIPO DE LUZ</t>
        </is>
      </c>
    </row>
    <row r="24" ht="34" customHeight="1">
      <c r="B24" s="9" t="inlineStr">
        <is>
          <t>Luz</t>
        </is>
      </c>
      <c r="C24" s="9" t="inlineStr">
        <is>
          <t>Plantas</t>
        </is>
      </c>
      <c r="D24" s="9" t="inlineStr">
        <is>
          <t>Riego medio (días)</t>
        </is>
      </c>
      <c r="E24" s="9" t="inlineStr">
        <is>
          <t>Riego atrasado</t>
        </is>
      </c>
    </row>
    <row r="25">
      <c r="B25" s="10">
        <f>Listas!B2</f>
        <v/>
      </c>
      <c r="C25" s="11">
        <f>COUNTIF(Plantas!$E$7:$E$46,B25)</f>
        <v/>
      </c>
      <c r="D25" s="14">
        <f>IF(C25=0,0,ROUND(SUMIF(Plantas!$E$7:$E$46,B25,Plantas!$F$7:$F$46)/C25,1))</f>
        <v/>
      </c>
      <c r="E25" s="11">
        <f>COUNTIFS(Plantas!$E$7:$E$46,B25,Plantas!$J$7:$J$46,"Atrasada")</f>
        <v/>
      </c>
    </row>
    <row r="26">
      <c r="B26" s="10">
        <f>Listas!B3</f>
        <v/>
      </c>
      <c r="C26" s="11">
        <f>COUNTIF(Plantas!$E$7:$E$46,B26)</f>
        <v/>
      </c>
      <c r="D26" s="14">
        <f>IF(C26=0,0,ROUND(SUMIF(Plantas!$E$7:$E$46,B26,Plantas!$F$7:$F$46)/C26,1))</f>
        <v/>
      </c>
      <c r="E26" s="11">
        <f>COUNTIFS(Plantas!$E$7:$E$46,B26,Plantas!$J$7:$J$46,"Atrasada")</f>
        <v/>
      </c>
    </row>
    <row r="27">
      <c r="B27" s="10">
        <f>Listas!B4</f>
        <v/>
      </c>
      <c r="C27" s="11">
        <f>COUNTIF(Plantas!$E$7:$E$46,B27)</f>
        <v/>
      </c>
      <c r="D27" s="14">
        <f>IF(C27=0,0,ROUND(SUMIF(Plantas!$E$7:$E$46,B27,Plantas!$F$7:$F$46)/C27,1))</f>
        <v/>
      </c>
      <c r="E27" s="11">
        <f>COUNTIFS(Plantas!$E$7:$E$46,B27,Plantas!$J$7:$J$46,"Atrasada")</f>
        <v/>
      </c>
    </row>
    <row r="28">
      <c r="B28" s="10">
        <f>Listas!B5</f>
        <v/>
      </c>
      <c r="C28" s="11">
        <f>COUNTIF(Plantas!$E$7:$E$46,B28)</f>
        <v/>
      </c>
      <c r="D28" s="14">
        <f>IF(C28=0,0,ROUND(SUMIF(Plantas!$E$7:$E$46,B28,Plantas!$F$7:$F$46)/C28,1))</f>
        <v/>
      </c>
      <c r="E28" s="11">
        <f>COUNTIFS(Plantas!$E$7:$E$46,B28,Plantas!$J$7:$J$46,"Atrasada")</f>
        <v/>
      </c>
    </row>
    <row r="30">
      <c r="B30" s="8" t="inlineStr">
        <is>
          <t>LOS 8 RIEGOS MÁS URGENTES</t>
        </is>
      </c>
    </row>
    <row r="31" ht="26" customHeight="1">
      <c r="B31" s="9" t="inlineStr">
        <is>
          <t>Planta</t>
        </is>
      </c>
      <c r="C31" s="9" t="inlineStr">
        <is>
          <t>Ubicación</t>
        </is>
      </c>
      <c r="D31" s="9" t="inlineStr">
        <is>
          <t>Próximo riego</t>
        </is>
      </c>
      <c r="E31" s="9" t="inlineStr">
        <is>
          <t>Días</t>
        </is>
      </c>
      <c r="F31" s="9" t="inlineStr">
        <is>
          <t>Estado</t>
        </is>
      </c>
    </row>
    <row r="32">
      <c r="B32" s="10">
        <f>IFERROR(INDEX(Plantas!$B$7:$B$46,MATCH(ROWS(B$32:B32),Plantas!$S$7:$S$46,0)),"")</f>
        <v/>
      </c>
      <c r="C32" s="15">
        <f>IFERROR(INDEX(Plantas!$D$7:$D$46,MATCH(ROWS(B$32:B32),Plantas!$S$7:$S$46,0)),"")</f>
        <v/>
      </c>
      <c r="D32" s="16">
        <f>IFERROR(INDEX(Plantas!$H$7:$H$46,MATCH(ROWS(B$32:B32),Plantas!$S$7:$S$46,0)),"")</f>
        <v/>
      </c>
      <c r="E32" s="17">
        <f>IFERROR(INDEX(Plantas!$I$7:$I$46,MATCH(ROWS(B$32:B32),Plantas!$S$7:$S$46,0)),"")</f>
        <v/>
      </c>
      <c r="F32" s="15">
        <f>IFERROR(INDEX(Plantas!$J$7:$J$46,MATCH(ROWS(B$32:B32),Plantas!$S$7:$S$46,0)),"")</f>
        <v/>
      </c>
    </row>
    <row r="33">
      <c r="B33" s="10">
        <f>IFERROR(INDEX(Plantas!$B$7:$B$46,MATCH(ROWS(B$32:B33),Plantas!$S$7:$S$46,0)),"")</f>
        <v/>
      </c>
      <c r="C33" s="15">
        <f>IFERROR(INDEX(Plantas!$D$7:$D$46,MATCH(ROWS(B$32:B33),Plantas!$S$7:$S$46,0)),"")</f>
        <v/>
      </c>
      <c r="D33" s="16">
        <f>IFERROR(INDEX(Plantas!$H$7:$H$46,MATCH(ROWS(B$32:B33),Plantas!$S$7:$S$46,0)),"")</f>
        <v/>
      </c>
      <c r="E33" s="17">
        <f>IFERROR(INDEX(Plantas!$I$7:$I$46,MATCH(ROWS(B$32:B33),Plantas!$S$7:$S$46,0)),"")</f>
        <v/>
      </c>
      <c r="F33" s="15">
        <f>IFERROR(INDEX(Plantas!$J$7:$J$46,MATCH(ROWS(B$32:B33),Plantas!$S$7:$S$46,0)),"")</f>
        <v/>
      </c>
    </row>
    <row r="34">
      <c r="B34" s="10">
        <f>IFERROR(INDEX(Plantas!$B$7:$B$46,MATCH(ROWS(B$32:B34),Plantas!$S$7:$S$46,0)),"")</f>
        <v/>
      </c>
      <c r="C34" s="15">
        <f>IFERROR(INDEX(Plantas!$D$7:$D$46,MATCH(ROWS(B$32:B34),Plantas!$S$7:$S$46,0)),"")</f>
        <v/>
      </c>
      <c r="D34" s="16">
        <f>IFERROR(INDEX(Plantas!$H$7:$H$46,MATCH(ROWS(B$32:B34),Plantas!$S$7:$S$46,0)),"")</f>
        <v/>
      </c>
      <c r="E34" s="17">
        <f>IFERROR(INDEX(Plantas!$I$7:$I$46,MATCH(ROWS(B$32:B34),Plantas!$S$7:$S$46,0)),"")</f>
        <v/>
      </c>
      <c r="F34" s="15">
        <f>IFERROR(INDEX(Plantas!$J$7:$J$46,MATCH(ROWS(B$32:B34),Plantas!$S$7:$S$46,0)),"")</f>
        <v/>
      </c>
    </row>
    <row r="35">
      <c r="B35" s="10">
        <f>IFERROR(INDEX(Plantas!$B$7:$B$46,MATCH(ROWS(B$32:B35),Plantas!$S$7:$S$46,0)),"")</f>
        <v/>
      </c>
      <c r="C35" s="15">
        <f>IFERROR(INDEX(Plantas!$D$7:$D$46,MATCH(ROWS(B$32:B35),Plantas!$S$7:$S$46,0)),"")</f>
        <v/>
      </c>
      <c r="D35" s="16">
        <f>IFERROR(INDEX(Plantas!$H$7:$H$46,MATCH(ROWS(B$32:B35),Plantas!$S$7:$S$46,0)),"")</f>
        <v/>
      </c>
      <c r="E35" s="17">
        <f>IFERROR(INDEX(Plantas!$I$7:$I$46,MATCH(ROWS(B$32:B35),Plantas!$S$7:$S$46,0)),"")</f>
        <v/>
      </c>
      <c r="F35" s="15">
        <f>IFERROR(INDEX(Plantas!$J$7:$J$46,MATCH(ROWS(B$32:B35),Plantas!$S$7:$S$46,0)),"")</f>
        <v/>
      </c>
    </row>
    <row r="36">
      <c r="B36" s="10">
        <f>IFERROR(INDEX(Plantas!$B$7:$B$46,MATCH(ROWS(B$32:B36),Plantas!$S$7:$S$46,0)),"")</f>
        <v/>
      </c>
      <c r="C36" s="15">
        <f>IFERROR(INDEX(Plantas!$D$7:$D$46,MATCH(ROWS(B$32:B36),Plantas!$S$7:$S$46,0)),"")</f>
        <v/>
      </c>
      <c r="D36" s="16">
        <f>IFERROR(INDEX(Plantas!$H$7:$H$46,MATCH(ROWS(B$32:B36),Plantas!$S$7:$S$46,0)),"")</f>
        <v/>
      </c>
      <c r="E36" s="17">
        <f>IFERROR(INDEX(Plantas!$I$7:$I$46,MATCH(ROWS(B$32:B36),Plantas!$S$7:$S$46,0)),"")</f>
        <v/>
      </c>
      <c r="F36" s="15">
        <f>IFERROR(INDEX(Plantas!$J$7:$J$46,MATCH(ROWS(B$32:B36),Plantas!$S$7:$S$46,0)),"")</f>
        <v/>
      </c>
    </row>
    <row r="37">
      <c r="B37" s="10">
        <f>IFERROR(INDEX(Plantas!$B$7:$B$46,MATCH(ROWS(B$32:B37),Plantas!$S$7:$S$46,0)),"")</f>
        <v/>
      </c>
      <c r="C37" s="15">
        <f>IFERROR(INDEX(Plantas!$D$7:$D$46,MATCH(ROWS(B$32:B37),Plantas!$S$7:$S$46,0)),"")</f>
        <v/>
      </c>
      <c r="D37" s="16">
        <f>IFERROR(INDEX(Plantas!$H$7:$H$46,MATCH(ROWS(B$32:B37),Plantas!$S$7:$S$46,0)),"")</f>
        <v/>
      </c>
      <c r="E37" s="17">
        <f>IFERROR(INDEX(Plantas!$I$7:$I$46,MATCH(ROWS(B$32:B37),Plantas!$S$7:$S$46,0)),"")</f>
        <v/>
      </c>
      <c r="F37" s="15">
        <f>IFERROR(INDEX(Plantas!$J$7:$J$46,MATCH(ROWS(B$32:B37),Plantas!$S$7:$S$46,0)),"")</f>
        <v/>
      </c>
    </row>
    <row r="38">
      <c r="B38" s="10">
        <f>IFERROR(INDEX(Plantas!$B$7:$B$46,MATCH(ROWS(B$32:B38),Plantas!$S$7:$S$46,0)),"")</f>
        <v/>
      </c>
      <c r="C38" s="15">
        <f>IFERROR(INDEX(Plantas!$D$7:$D$46,MATCH(ROWS(B$32:B38),Plantas!$S$7:$S$46,0)),"")</f>
        <v/>
      </c>
      <c r="D38" s="16">
        <f>IFERROR(INDEX(Plantas!$H$7:$H$46,MATCH(ROWS(B$32:B38),Plantas!$S$7:$S$46,0)),"")</f>
        <v/>
      </c>
      <c r="E38" s="17">
        <f>IFERROR(INDEX(Plantas!$I$7:$I$46,MATCH(ROWS(B$32:B38),Plantas!$S$7:$S$46,0)),"")</f>
        <v/>
      </c>
      <c r="F38" s="15">
        <f>IFERROR(INDEX(Plantas!$J$7:$J$46,MATCH(ROWS(B$32:B38),Plantas!$S$7:$S$46,0)),"")</f>
        <v/>
      </c>
    </row>
    <row r="39">
      <c r="B39" s="10">
        <f>IFERROR(INDEX(Plantas!$B$7:$B$46,MATCH(ROWS(B$32:B39),Plantas!$S$7:$S$46,0)),"")</f>
        <v/>
      </c>
      <c r="C39" s="15">
        <f>IFERROR(INDEX(Plantas!$D$7:$D$46,MATCH(ROWS(B$32:B39),Plantas!$S$7:$S$46,0)),"")</f>
        <v/>
      </c>
      <c r="D39" s="16">
        <f>IFERROR(INDEX(Plantas!$H$7:$H$46,MATCH(ROWS(B$32:B39),Plantas!$S$7:$S$46,0)),"")</f>
        <v/>
      </c>
      <c r="E39" s="17">
        <f>IFERROR(INDEX(Plantas!$I$7:$I$46,MATCH(ROWS(B$32:B39),Plantas!$S$7:$S$46,0)),"")</f>
        <v/>
      </c>
      <c r="F39" s="15">
        <f>IFERROR(INDEX(Plantas!$J$7:$J$46,MATCH(ROWS(B$32:B39),Plantas!$S$7:$S$46,0)),"")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8">
    <mergeCell ref="D8:E8"/>
    <mergeCell ref="D6:E6"/>
    <mergeCell ref="B6:C6"/>
    <mergeCell ref="H6:I6"/>
    <mergeCell ref="B5:C5"/>
    <mergeCell ref="B2:I2"/>
    <mergeCell ref="F5:G5"/>
    <mergeCell ref="D5:E5"/>
    <mergeCell ref="B3:I3"/>
    <mergeCell ref="F6:G6"/>
    <mergeCell ref="H5:I5"/>
    <mergeCell ref="H8:I8"/>
    <mergeCell ref="B9:C9"/>
    <mergeCell ref="D9:E9"/>
    <mergeCell ref="B8:C8"/>
    <mergeCell ref="H9:I9"/>
    <mergeCell ref="F9:G9"/>
    <mergeCell ref="F8:G8"/>
  </mergeCells>
  <conditionalFormatting sqref="C13:C20">
    <cfRule type="dataBar" priority="1">
      <dataBar>
        <cfvo type="num" val="0"/>
        <cfvo type="max"/>
        <color rgb="0010B981"/>
      </dataBar>
    </cfRule>
  </conditionalFormatting>
  <conditionalFormatting sqref="C25:C28">
    <cfRule type="dataBar" priority="2">
      <dataBar>
        <cfvo type="num" val="0"/>
        <cfvo type="max"/>
        <color rgb="0010B981"/>
      </dataBar>
    </cfRule>
  </conditionalFormatting>
  <conditionalFormatting sqref="F32:F39">
    <cfRule type="cellIs" priority="3" operator="equal" dxfId="0">
      <formula>"Atrasada"</formula>
    </cfRule>
    <cfRule type="cellIs" priority="4" operator="equal" dxfId="1">
      <formula>"Hoy"</formula>
    </cfRule>
    <cfRule type="cellIs" priority="5" operator="equal" dxfId="2">
      <formula>"Próximos días"</formula>
    </cfRule>
    <cfRule type="cellIs" priority="6" operator="equal" dxfId="3">
      <formula>"Al día"</formula>
    </cfRule>
  </conditionalFormatting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S48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2" customWidth="1" min="2" max="2"/>
    <col width="24" customWidth="1" min="3" max="3"/>
    <col width="13" customWidth="1" min="4" max="4"/>
    <col width="14" customWidth="1" min="5" max="5"/>
    <col width="10" customWidth="1" min="6" max="6"/>
    <col width="12" customWidth="1" min="7" max="7"/>
    <col width="12" customWidth="1" min="8" max="8"/>
    <col width="10" customWidth="1" min="9" max="9"/>
    <col width="14" customWidth="1" min="10" max="10"/>
    <col width="10" customWidth="1" min="11" max="11"/>
    <col width="12" customWidth="1" min="12" max="12"/>
    <col width="12" customWidth="1" min="13" max="13"/>
    <col width="13" customWidth="1" min="14" max="14"/>
    <col width="11" customWidth="1" min="15" max="15"/>
    <col width="12" customWidth="1" min="16" max="16"/>
    <col width="12" customWidth="1" min="17" max="17"/>
    <col width="16" customWidth="1" min="18" max="18"/>
    <col width="9" customWidth="1" min="19" max="19"/>
  </cols>
  <sheetData>
    <row r="2" ht="34" customHeight="1">
      <c r="B2" s="1" t="inlineStr">
        <is>
          <t>Registro de plantas y calendario de riego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</row>
    <row r="3">
      <c r="B3" s="3" t="inlineStr">
        <is>
          <t>Anota la frecuencia y la fecha del último riego: la plantilla calcula cuándo toca regar, abonar y trasplantar.</t>
        </is>
      </c>
    </row>
    <row r="4">
      <c r="B4" s="18" t="inlineStr">
        <is>
          <t>Fecha de hoy (puedes fijarla a mano):</t>
        </is>
      </c>
      <c r="D4" s="19">
        <f>TODAY()</f>
        <v/>
      </c>
      <c r="E4" s="18" t="inlineStr">
        <is>
          <t>Aviso riego (días):</t>
        </is>
      </c>
      <c r="G4" s="20" t="n">
        <v>3</v>
      </c>
      <c r="I4" s="18" t="inlineStr">
        <is>
          <t>Aviso trasplante (días):</t>
        </is>
      </c>
      <c r="L4" s="20" t="n">
        <v>60</v>
      </c>
    </row>
    <row r="6" ht="40" customHeight="1">
      <c r="B6" s="9" t="inlineStr">
        <is>
          <t>Planta</t>
        </is>
      </c>
      <c r="C6" s="9" t="inlineStr">
        <is>
          <t>Especie</t>
        </is>
      </c>
      <c r="D6" s="9" t="inlineStr">
        <is>
          <t>Ubicación</t>
        </is>
      </c>
      <c r="E6" s="9" t="inlineStr">
        <is>
          <t>Luz</t>
        </is>
      </c>
      <c r="F6" s="9" t="inlineStr">
        <is>
          <t>Riego cada (días)</t>
        </is>
      </c>
      <c r="G6" s="9" t="inlineStr">
        <is>
          <t>Último riego</t>
        </is>
      </c>
      <c r="H6" s="9" t="inlineStr">
        <is>
          <t>Próximo riego</t>
        </is>
      </c>
      <c r="I6" s="9" t="inlineStr">
        <is>
          <t>Días para regar</t>
        </is>
      </c>
      <c r="J6" s="9" t="inlineStr">
        <is>
          <t>Estado riego</t>
        </is>
      </c>
      <c r="K6" s="9" t="inlineStr">
        <is>
          <t>Abonar cada (días)</t>
        </is>
      </c>
      <c r="L6" s="9" t="inlineStr">
        <is>
          <t>Último abonado</t>
        </is>
      </c>
      <c r="M6" s="9" t="inlineStr">
        <is>
          <t>Próximo abonado</t>
        </is>
      </c>
      <c r="N6" s="9" t="inlineStr">
        <is>
          <t>Estado abono</t>
        </is>
      </c>
      <c r="O6" s="9" t="inlineStr">
        <is>
          <t>Trasplante cada (meses)</t>
        </is>
      </c>
      <c r="P6" s="9" t="inlineStr">
        <is>
          <t>Último trasplante</t>
        </is>
      </c>
      <c r="Q6" s="9" t="inlineStr">
        <is>
          <t>Próximo trasplante</t>
        </is>
      </c>
      <c r="R6" s="9" t="inlineStr">
        <is>
          <t>Estado trasplante</t>
        </is>
      </c>
      <c r="S6" s="9" t="inlineStr">
        <is>
          <t>Aux. orden</t>
        </is>
      </c>
    </row>
    <row r="7">
      <c r="B7" s="21" t="inlineStr">
        <is>
          <t>Monstera</t>
        </is>
      </c>
      <c r="C7" s="21" t="inlineStr">
        <is>
          <t>Monstera deliciosa</t>
        </is>
      </c>
      <c r="D7" s="22" t="inlineStr">
        <is>
          <t>Salón</t>
        </is>
      </c>
      <c r="E7" s="22" t="inlineStr">
        <is>
          <t>Luz brillante</t>
        </is>
      </c>
      <c r="F7" s="20" t="n">
        <v>7</v>
      </c>
      <c r="G7" s="19">
        <f>$D$4-5</f>
        <v/>
      </c>
      <c r="H7" s="16">
        <f>IF(OR(B7="",G7="",F7=""),"",G7+F7)</f>
        <v/>
      </c>
      <c r="I7" s="17">
        <f>IF(H7="","",H7-$D$4)</f>
        <v/>
      </c>
      <c r="J7" s="15">
        <f>IF(B7="","",IF(H7="","Sin registrar",IF(I7&lt;0,"Atrasada",IF(I7=0,"Hoy",IF(I7&lt;=$G$4,"Próximos días","Al día")))))</f>
        <v/>
      </c>
      <c r="K7" s="20" t="n">
        <v>30</v>
      </c>
      <c r="L7" s="19">
        <f>$D$4-12</f>
        <v/>
      </c>
      <c r="M7" s="16">
        <f>IF(OR(B7="",K7="",L7=""),"",L7+K7)</f>
        <v/>
      </c>
      <c r="N7" s="15">
        <f>IF(B7="","",IF(M7="","Sin abonado",IF(M7&lt;=$D$4,"Toca abonar","Al día")))</f>
        <v/>
      </c>
      <c r="O7" s="20" t="n">
        <v>24</v>
      </c>
      <c r="P7" s="19">
        <f>EDATE($D$4,-14)</f>
        <v/>
      </c>
      <c r="Q7" s="16">
        <f>IF(OR(B7="",O7="",P7=""),"",EDATE(P7,O7))</f>
        <v/>
      </c>
      <c r="R7" s="15">
        <f>IF(B7="","",IF(Q7="","Sin registrar",IF(Q7&lt;=$D$4,"Toca trasplantar",IF(Q7-$D$4&lt;=$L$4,"Próximamente","Al día"))))</f>
        <v/>
      </c>
      <c r="S7" s="23">
        <f>IF(OR(B7="",I7=""),"",RANK(I7,$I$7:$I$46,1)+COUNTIF($I$7:I7,I7)-1)</f>
        <v/>
      </c>
    </row>
    <row r="8">
      <c r="B8" s="21" t="inlineStr">
        <is>
          <t>Potus</t>
        </is>
      </c>
      <c r="C8" s="21" t="inlineStr">
        <is>
          <t>Epipremnum aureum</t>
        </is>
      </c>
      <c r="D8" s="22" t="inlineStr">
        <is>
          <t>Salón</t>
        </is>
      </c>
      <c r="E8" s="22" t="inlineStr">
        <is>
          <t>Semisombra</t>
        </is>
      </c>
      <c r="F8" s="20" t="n">
        <v>7</v>
      </c>
      <c r="G8" s="19">
        <f>$D$4-8</f>
        <v/>
      </c>
      <c r="H8" s="16">
        <f>IF(OR(B8="",G8="",F8=""),"",G8+F8)</f>
        <v/>
      </c>
      <c r="I8" s="17">
        <f>IF(H8="","",H8-$D$4)</f>
        <v/>
      </c>
      <c r="J8" s="15">
        <f>IF(B8="","",IF(H8="","Sin registrar",IF(I8&lt;0,"Atrasada",IF(I8=0,"Hoy",IF(I8&lt;=$G$4,"Próximos días","Al día")))))</f>
        <v/>
      </c>
      <c r="K8" s="20" t="n">
        <v>30</v>
      </c>
      <c r="L8" s="19">
        <f>$D$4-40</f>
        <v/>
      </c>
      <c r="M8" s="16">
        <f>IF(OR(B8="",K8="",L8=""),"",L8+K8)</f>
        <v/>
      </c>
      <c r="N8" s="15">
        <f>IF(B8="","",IF(M8="","Sin abonado",IF(M8&lt;=$D$4,"Toca abonar","Al día")))</f>
        <v/>
      </c>
      <c r="O8" s="20" t="n">
        <v>24</v>
      </c>
      <c r="P8" s="19">
        <f>EDATE($D$4,-30)</f>
        <v/>
      </c>
      <c r="Q8" s="16">
        <f>IF(OR(B8="",O8="",P8=""),"",EDATE(P8,O8))</f>
        <v/>
      </c>
      <c r="R8" s="15">
        <f>IF(B8="","",IF(Q8="","Sin registrar",IF(Q8&lt;=$D$4,"Toca trasplantar",IF(Q8-$D$4&lt;=$L$4,"Próximamente","Al día"))))</f>
        <v/>
      </c>
      <c r="S8" s="23">
        <f>IF(OR(B8="",I8=""),"",RANK(I8,$I$7:$I$46,1)+COUNTIF($I$7:I8,I8)-1)</f>
        <v/>
      </c>
    </row>
    <row r="9">
      <c r="B9" s="21" t="inlineStr">
        <is>
          <t>Sansevieria</t>
        </is>
      </c>
      <c r="C9" s="21" t="inlineStr">
        <is>
          <t>Sansevieria trifasciata</t>
        </is>
      </c>
      <c r="D9" s="22" t="inlineStr">
        <is>
          <t>Dormitorio</t>
        </is>
      </c>
      <c r="E9" s="22" t="inlineStr">
        <is>
          <t>Semisombra</t>
        </is>
      </c>
      <c r="F9" s="20" t="n">
        <v>21</v>
      </c>
      <c r="G9" s="19">
        <f>$D$4-10</f>
        <v/>
      </c>
      <c r="H9" s="16">
        <f>IF(OR(B9="",G9="",F9=""),"",G9+F9)</f>
        <v/>
      </c>
      <c r="I9" s="17">
        <f>IF(H9="","",H9-$D$4)</f>
        <v/>
      </c>
      <c r="J9" s="15">
        <f>IF(B9="","",IF(H9="","Sin registrar",IF(I9&lt;0,"Atrasada",IF(I9=0,"Hoy",IF(I9&lt;=$G$4,"Próximos días","Al día")))))</f>
        <v/>
      </c>
      <c r="K9" s="20" t="n">
        <v>60</v>
      </c>
      <c r="L9" s="19">
        <f>$D$4-30</f>
        <v/>
      </c>
      <c r="M9" s="16">
        <f>IF(OR(B9="",K9="",L9=""),"",L9+K9)</f>
        <v/>
      </c>
      <c r="N9" s="15">
        <f>IF(B9="","",IF(M9="","Sin abonado",IF(M9&lt;=$D$4,"Toca abonar","Al día")))</f>
        <v/>
      </c>
      <c r="O9" s="20" t="n">
        <v>36</v>
      </c>
      <c r="P9" s="19">
        <f>EDATE($D$4,-20)</f>
        <v/>
      </c>
      <c r="Q9" s="16">
        <f>IF(OR(B9="",O9="",P9=""),"",EDATE(P9,O9))</f>
        <v/>
      </c>
      <c r="R9" s="15">
        <f>IF(B9="","",IF(Q9="","Sin registrar",IF(Q9&lt;=$D$4,"Toca trasplantar",IF(Q9-$D$4&lt;=$L$4,"Próximamente","Al día"))))</f>
        <v/>
      </c>
      <c r="S9" s="23">
        <f>IF(OR(B9="",I9=""),"",RANK(I9,$I$7:$I$46,1)+COUNTIF($I$7:I9,I9)-1)</f>
        <v/>
      </c>
    </row>
    <row r="10">
      <c r="B10" s="21" t="inlineStr">
        <is>
          <t>Aloe vera</t>
        </is>
      </c>
      <c r="C10" s="21" t="inlineStr">
        <is>
          <t>Aloe vera</t>
        </is>
      </c>
      <c r="D10" s="22" t="inlineStr">
        <is>
          <t>Terraza</t>
        </is>
      </c>
      <c r="E10" s="22" t="inlineStr">
        <is>
          <t>Sol directo</t>
        </is>
      </c>
      <c r="F10" s="20" t="n">
        <v>14</v>
      </c>
      <c r="G10" s="19">
        <f>$D$4-14</f>
        <v/>
      </c>
      <c r="H10" s="16">
        <f>IF(OR(B10="",G10="",F10=""),"",G10+F10)</f>
        <v/>
      </c>
      <c r="I10" s="17">
        <f>IF(H10="","",H10-$D$4)</f>
        <v/>
      </c>
      <c r="J10" s="15">
        <f>IF(B10="","",IF(H10="","Sin registrar",IF(I10&lt;0,"Atrasada",IF(I10=0,"Hoy",IF(I10&lt;=$G$4,"Próximos días","Al día")))))</f>
        <v/>
      </c>
      <c r="K10" s="20" t="n">
        <v>45</v>
      </c>
      <c r="L10" s="19">
        <f>$D$4-50</f>
        <v/>
      </c>
      <c r="M10" s="16">
        <f>IF(OR(B10="",K10="",L10=""),"",L10+K10)</f>
        <v/>
      </c>
      <c r="N10" s="15">
        <f>IF(B10="","",IF(M10="","Sin abonado",IF(M10&lt;=$D$4,"Toca abonar","Al día")))</f>
        <v/>
      </c>
      <c r="O10" s="20" t="n">
        <v>24</v>
      </c>
      <c r="P10" s="19">
        <f>EDATE($D$4,-10)</f>
        <v/>
      </c>
      <c r="Q10" s="16">
        <f>IF(OR(B10="",O10="",P10=""),"",EDATE(P10,O10))</f>
        <v/>
      </c>
      <c r="R10" s="15">
        <f>IF(B10="","",IF(Q10="","Sin registrar",IF(Q10&lt;=$D$4,"Toca trasplantar",IF(Q10-$D$4&lt;=$L$4,"Próximamente","Al día"))))</f>
        <v/>
      </c>
      <c r="S10" s="23">
        <f>IF(OR(B10="",I10=""),"",RANK(I10,$I$7:$I$46,1)+COUNTIF($I$7:I10,I10)-1)</f>
        <v/>
      </c>
    </row>
    <row r="11">
      <c r="B11" s="21" t="inlineStr">
        <is>
          <t>Cactus de Navidad</t>
        </is>
      </c>
      <c r="C11" s="21" t="inlineStr">
        <is>
          <t>Schlumbergera truncata</t>
        </is>
      </c>
      <c r="D11" s="22" t="inlineStr">
        <is>
          <t>Salón</t>
        </is>
      </c>
      <c r="E11" s="22" t="inlineStr">
        <is>
          <t>Luz brillante</t>
        </is>
      </c>
      <c r="F11" s="20" t="n">
        <v>10</v>
      </c>
      <c r="G11" s="19">
        <f>$D$4-3</f>
        <v/>
      </c>
      <c r="H11" s="16">
        <f>IF(OR(B11="",G11="",F11=""),"",G11+F11)</f>
        <v/>
      </c>
      <c r="I11" s="17">
        <f>IF(H11="","",H11-$D$4)</f>
        <v/>
      </c>
      <c r="J11" s="15">
        <f>IF(B11="","",IF(H11="","Sin registrar",IF(I11&lt;0,"Atrasada",IF(I11=0,"Hoy",IF(I11&lt;=$G$4,"Próximos días","Al día")))))</f>
        <v/>
      </c>
      <c r="K11" s="20" t="n">
        <v>30</v>
      </c>
      <c r="L11" s="19">
        <f>$D$4-25</f>
        <v/>
      </c>
      <c r="M11" s="16">
        <f>IF(OR(B11="",K11="",L11=""),"",L11+K11)</f>
        <v/>
      </c>
      <c r="N11" s="15">
        <f>IF(B11="","",IF(M11="","Sin abonado",IF(M11&lt;=$D$4,"Toca abonar","Al día")))</f>
        <v/>
      </c>
      <c r="O11" s="20" t="n">
        <v>24</v>
      </c>
      <c r="P11" s="19">
        <f>EDATE($D$4,-6)</f>
        <v/>
      </c>
      <c r="Q11" s="16">
        <f>IF(OR(B11="",O11="",P11=""),"",EDATE(P11,O11))</f>
        <v/>
      </c>
      <c r="R11" s="15">
        <f>IF(B11="","",IF(Q11="","Sin registrar",IF(Q11&lt;=$D$4,"Toca trasplantar",IF(Q11-$D$4&lt;=$L$4,"Próximamente","Al día"))))</f>
        <v/>
      </c>
      <c r="S11" s="23">
        <f>IF(OR(B11="",I11=""),"",RANK(I11,$I$7:$I$46,1)+COUNTIF($I$7:I11,I11)-1)</f>
        <v/>
      </c>
    </row>
    <row r="12">
      <c r="B12" s="21" t="inlineStr">
        <is>
          <t>Albahaca</t>
        </is>
      </c>
      <c r="C12" s="21" t="inlineStr">
        <is>
          <t>Ocimum basilicum</t>
        </is>
      </c>
      <c r="D12" s="22" t="inlineStr">
        <is>
          <t>Cocina</t>
        </is>
      </c>
      <c r="E12" s="22" t="inlineStr">
        <is>
          <t>Sol directo</t>
        </is>
      </c>
      <c r="F12" s="20" t="n">
        <v>2</v>
      </c>
      <c r="G12" s="19">
        <f>$D$4-2</f>
        <v/>
      </c>
      <c r="H12" s="16">
        <f>IF(OR(B12="",G12="",F12=""),"",G12+F12)</f>
        <v/>
      </c>
      <c r="I12" s="17">
        <f>IF(H12="","",H12-$D$4)</f>
        <v/>
      </c>
      <c r="J12" s="15">
        <f>IF(B12="","",IF(H12="","Sin registrar",IF(I12&lt;0,"Atrasada",IF(I12=0,"Hoy",IF(I12&lt;=$G$4,"Próximos días","Al día")))))</f>
        <v/>
      </c>
      <c r="K12" s="20" t="n">
        <v>15</v>
      </c>
      <c r="L12" s="19">
        <f>$D$4-10</f>
        <v/>
      </c>
      <c r="M12" s="16">
        <f>IF(OR(B12="",K12="",L12=""),"",L12+K12)</f>
        <v/>
      </c>
      <c r="N12" s="15">
        <f>IF(B12="","",IF(M12="","Sin abonado",IF(M12&lt;=$D$4,"Toca abonar","Al día")))</f>
        <v/>
      </c>
      <c r="O12" s="20" t="n">
        <v>12</v>
      </c>
      <c r="P12" s="19">
        <f>EDATE($D$4,-3)</f>
        <v/>
      </c>
      <c r="Q12" s="16">
        <f>IF(OR(B12="",O12="",P12=""),"",EDATE(P12,O12))</f>
        <v/>
      </c>
      <c r="R12" s="15">
        <f>IF(B12="","",IF(Q12="","Sin registrar",IF(Q12&lt;=$D$4,"Toca trasplantar",IF(Q12-$D$4&lt;=$L$4,"Próximamente","Al día"))))</f>
        <v/>
      </c>
      <c r="S12" s="23">
        <f>IF(OR(B12="",I12=""),"",RANK(I12,$I$7:$I$46,1)+COUNTIF($I$7:I12,I12)-1)</f>
        <v/>
      </c>
    </row>
    <row r="13">
      <c r="B13" s="21" t="inlineStr">
        <is>
          <t>Hierbabuena</t>
        </is>
      </c>
      <c r="C13" s="21" t="inlineStr">
        <is>
          <t>Mentha spicata</t>
        </is>
      </c>
      <c r="D13" s="22" t="inlineStr">
        <is>
          <t>Cocina</t>
        </is>
      </c>
      <c r="E13" s="22" t="inlineStr">
        <is>
          <t>Luz brillante</t>
        </is>
      </c>
      <c r="F13" s="20" t="n">
        <v>3</v>
      </c>
      <c r="G13" s="19">
        <f>$D$4-5</f>
        <v/>
      </c>
      <c r="H13" s="16">
        <f>IF(OR(B13="",G13="",F13=""),"",G13+F13)</f>
        <v/>
      </c>
      <c r="I13" s="17">
        <f>IF(H13="","",H13-$D$4)</f>
        <v/>
      </c>
      <c r="J13" s="15">
        <f>IF(B13="","",IF(H13="","Sin registrar",IF(I13&lt;0,"Atrasada",IF(I13=0,"Hoy",IF(I13&lt;=$G$4,"Próximos días","Al día")))))</f>
        <v/>
      </c>
      <c r="K13" s="20" t="n">
        <v>20</v>
      </c>
      <c r="L13" s="19">
        <f>$D$4-9</f>
        <v/>
      </c>
      <c r="M13" s="16">
        <f>IF(OR(B13="",K13="",L13=""),"",L13+K13)</f>
        <v/>
      </c>
      <c r="N13" s="15">
        <f>IF(B13="","",IF(M13="","Sin abonado",IF(M13&lt;=$D$4,"Toca abonar","Al día")))</f>
        <v/>
      </c>
      <c r="O13" s="20" t="n">
        <v>12</v>
      </c>
      <c r="P13" s="19">
        <f>EDATE($D$4,-13)</f>
        <v/>
      </c>
      <c r="Q13" s="16">
        <f>IF(OR(B13="",O13="",P13=""),"",EDATE(P13,O13))</f>
        <v/>
      </c>
      <c r="R13" s="15">
        <f>IF(B13="","",IF(Q13="","Sin registrar",IF(Q13&lt;=$D$4,"Toca trasplantar",IF(Q13-$D$4&lt;=$L$4,"Próximamente","Al día"))))</f>
        <v/>
      </c>
      <c r="S13" s="23">
        <f>IF(OR(B13="",I13=""),"",RANK(I13,$I$7:$I$46,1)+COUNTIF($I$7:I13,I13)-1)</f>
        <v/>
      </c>
    </row>
    <row r="14">
      <c r="B14" s="21" t="inlineStr">
        <is>
          <t>Geranio</t>
        </is>
      </c>
      <c r="C14" s="21" t="inlineStr">
        <is>
          <t>Pelargonium</t>
        </is>
      </c>
      <c r="D14" s="22" t="inlineStr">
        <is>
          <t>Terraza</t>
        </is>
      </c>
      <c r="E14" s="22" t="inlineStr">
        <is>
          <t>Sol directo</t>
        </is>
      </c>
      <c r="F14" s="20" t="n">
        <v>4</v>
      </c>
      <c r="G14" s="19">
        <f>$D$4-1</f>
        <v/>
      </c>
      <c r="H14" s="16">
        <f>IF(OR(B14="",G14="",F14=""),"",G14+F14)</f>
        <v/>
      </c>
      <c r="I14" s="17">
        <f>IF(H14="","",H14-$D$4)</f>
        <v/>
      </c>
      <c r="J14" s="15">
        <f>IF(B14="","",IF(H14="","Sin registrar",IF(I14&lt;0,"Atrasada",IF(I14=0,"Hoy",IF(I14&lt;=$G$4,"Próximos días","Al día")))))</f>
        <v/>
      </c>
      <c r="K14" s="20" t="n">
        <v>21</v>
      </c>
      <c r="L14" s="19">
        <f>$D$4-15</f>
        <v/>
      </c>
      <c r="M14" s="16">
        <f>IF(OR(B14="",K14="",L14=""),"",L14+K14)</f>
        <v/>
      </c>
      <c r="N14" s="15">
        <f>IF(B14="","",IF(M14="","Sin abonado",IF(M14&lt;=$D$4,"Toca abonar","Al día")))</f>
        <v/>
      </c>
      <c r="O14" s="20" t="n">
        <v>12</v>
      </c>
      <c r="P14" s="19">
        <f>EDATE($D$4,-7)</f>
        <v/>
      </c>
      <c r="Q14" s="16">
        <f>IF(OR(B14="",O14="",P14=""),"",EDATE(P14,O14))</f>
        <v/>
      </c>
      <c r="R14" s="15">
        <f>IF(B14="","",IF(Q14="","Sin registrar",IF(Q14&lt;=$D$4,"Toca trasplantar",IF(Q14-$D$4&lt;=$L$4,"Próximamente","Al día"))))</f>
        <v/>
      </c>
      <c r="S14" s="23">
        <f>IF(OR(B14="",I14=""),"",RANK(I14,$I$7:$I$46,1)+COUNTIF($I$7:I14,I14)-1)</f>
        <v/>
      </c>
    </row>
    <row r="15">
      <c r="B15" s="21" t="inlineStr">
        <is>
          <t>Helecho de Boston</t>
        </is>
      </c>
      <c r="C15" s="21" t="inlineStr">
        <is>
          <t>Nephrolepis exaltata</t>
        </is>
      </c>
      <c r="D15" s="22" t="inlineStr">
        <is>
          <t>Baño</t>
        </is>
      </c>
      <c r="E15" s="22" t="inlineStr">
        <is>
          <t>Semisombra</t>
        </is>
      </c>
      <c r="F15" s="20" t="n">
        <v>4</v>
      </c>
      <c r="G15" s="19">
        <f>$D$4-3</f>
        <v/>
      </c>
      <c r="H15" s="16">
        <f>IF(OR(B15="",G15="",F15=""),"",G15+F15)</f>
        <v/>
      </c>
      <c r="I15" s="17">
        <f>IF(H15="","",H15-$D$4)</f>
        <v/>
      </c>
      <c r="J15" s="15">
        <f>IF(B15="","",IF(H15="","Sin registrar",IF(I15&lt;0,"Atrasada",IF(I15=0,"Hoy",IF(I15&lt;=$G$4,"Próximos días","Al día")))))</f>
        <v/>
      </c>
      <c r="K15" s="20" t="n">
        <v>30</v>
      </c>
      <c r="L15" s="19">
        <f>$D$4-28</f>
        <v/>
      </c>
      <c r="M15" s="16">
        <f>IF(OR(B15="",K15="",L15=""),"",L15+K15)</f>
        <v/>
      </c>
      <c r="N15" s="15">
        <f>IF(B15="","",IF(M15="","Sin abonado",IF(M15&lt;=$D$4,"Toca abonar","Al día")))</f>
        <v/>
      </c>
      <c r="O15" s="20" t="n">
        <v>24</v>
      </c>
      <c r="P15" s="19">
        <f>EDATE($D$4,-18)</f>
        <v/>
      </c>
      <c r="Q15" s="16">
        <f>IF(OR(B15="",O15="",P15=""),"",EDATE(P15,O15))</f>
        <v/>
      </c>
      <c r="R15" s="15">
        <f>IF(B15="","",IF(Q15="","Sin registrar",IF(Q15&lt;=$D$4,"Toca trasplantar",IF(Q15-$D$4&lt;=$L$4,"Próximamente","Al día"))))</f>
        <v/>
      </c>
      <c r="S15" s="23">
        <f>IF(OR(B15="",I15=""),"",RANK(I15,$I$7:$I$46,1)+COUNTIF($I$7:I15,I15)-1)</f>
        <v/>
      </c>
    </row>
    <row r="16">
      <c r="B16" s="21" t="inlineStr">
        <is>
          <t>Ficus lyrata</t>
        </is>
      </c>
      <c r="C16" s="21" t="inlineStr">
        <is>
          <t>Ficus lyrata</t>
        </is>
      </c>
      <c r="D16" s="22" t="inlineStr">
        <is>
          <t>Salón</t>
        </is>
      </c>
      <c r="E16" s="22" t="inlineStr">
        <is>
          <t>Luz brillante</t>
        </is>
      </c>
      <c r="F16" s="20" t="n">
        <v>8</v>
      </c>
      <c r="G16" s="19">
        <f>$D$4-2</f>
        <v/>
      </c>
      <c r="H16" s="16">
        <f>IF(OR(B16="",G16="",F16=""),"",G16+F16)</f>
        <v/>
      </c>
      <c r="I16" s="17">
        <f>IF(H16="","",H16-$D$4)</f>
        <v/>
      </c>
      <c r="J16" s="15">
        <f>IF(B16="","",IF(H16="","Sin registrar",IF(I16&lt;0,"Atrasada",IF(I16=0,"Hoy",IF(I16&lt;=$G$4,"Próximos días","Al día")))))</f>
        <v/>
      </c>
      <c r="K16" s="20" t="n">
        <v>30</v>
      </c>
      <c r="L16" s="19">
        <f>$D$4-29</f>
        <v/>
      </c>
      <c r="M16" s="16">
        <f>IF(OR(B16="",K16="",L16=""),"",L16+K16)</f>
        <v/>
      </c>
      <c r="N16" s="15">
        <f>IF(B16="","",IF(M16="","Sin abonado",IF(M16&lt;=$D$4,"Toca abonar","Al día")))</f>
        <v/>
      </c>
      <c r="O16" s="20" t="n">
        <v>24</v>
      </c>
      <c r="P16" s="19">
        <f>EDATE($D$4,-22)</f>
        <v/>
      </c>
      <c r="Q16" s="16">
        <f>IF(OR(B16="",O16="",P16=""),"",EDATE(P16,O16))</f>
        <v/>
      </c>
      <c r="R16" s="15">
        <f>IF(B16="","",IF(Q16="","Sin registrar",IF(Q16&lt;=$D$4,"Toca trasplantar",IF(Q16-$D$4&lt;=$L$4,"Próximamente","Al día"))))</f>
        <v/>
      </c>
      <c r="S16" s="23">
        <f>IF(OR(B16="",I16=""),"",RANK(I16,$I$7:$I$46,1)+COUNTIF($I$7:I16,I16)-1)</f>
        <v/>
      </c>
    </row>
    <row r="17">
      <c r="B17" s="21" t="inlineStr">
        <is>
          <t>Lavanda</t>
        </is>
      </c>
      <c r="C17" s="21" t="inlineStr">
        <is>
          <t>Lavandula angustifolia</t>
        </is>
      </c>
      <c r="D17" s="22" t="inlineStr">
        <is>
          <t>Terraza</t>
        </is>
      </c>
      <c r="E17" s="22" t="inlineStr">
        <is>
          <t>Sol directo</t>
        </is>
      </c>
      <c r="F17" s="20" t="n">
        <v>10</v>
      </c>
      <c r="G17" s="19">
        <f>$D$4-6</f>
        <v/>
      </c>
      <c r="H17" s="16">
        <f>IF(OR(B17="",G17="",F17=""),"",G17+F17)</f>
        <v/>
      </c>
      <c r="I17" s="17">
        <f>IF(H17="","",H17-$D$4)</f>
        <v/>
      </c>
      <c r="J17" s="15">
        <f>IF(B17="","",IF(H17="","Sin registrar",IF(I17&lt;0,"Atrasada",IF(I17=0,"Hoy",IF(I17&lt;=$G$4,"Próximos días","Al día")))))</f>
        <v/>
      </c>
      <c r="K17" s="20" t="n">
        <v>60</v>
      </c>
      <c r="L17" s="19">
        <f>$D$4-70</f>
        <v/>
      </c>
      <c r="M17" s="16">
        <f>IF(OR(B17="",K17="",L17=""),"",L17+K17)</f>
        <v/>
      </c>
      <c r="N17" s="15">
        <f>IF(B17="","",IF(M17="","Sin abonado",IF(M17&lt;=$D$4,"Toca abonar","Al día")))</f>
        <v/>
      </c>
      <c r="O17" s="20" t="n">
        <v>24</v>
      </c>
      <c r="P17" s="19">
        <f>EDATE($D$4,-12)</f>
        <v/>
      </c>
      <c r="Q17" s="16">
        <f>IF(OR(B17="",O17="",P17=""),"",EDATE(P17,O17))</f>
        <v/>
      </c>
      <c r="R17" s="15">
        <f>IF(B17="","",IF(Q17="","Sin registrar",IF(Q17&lt;=$D$4,"Toca trasplantar",IF(Q17-$D$4&lt;=$L$4,"Próximamente","Al día"))))</f>
        <v/>
      </c>
      <c r="S17" s="23">
        <f>IF(OR(B17="",I17=""),"",RANK(I17,$I$7:$I$46,1)+COUNTIF($I$7:I17,I17)-1)</f>
        <v/>
      </c>
    </row>
    <row r="18">
      <c r="B18" s="21" t="inlineStr">
        <is>
          <t>Árbol de jade</t>
        </is>
      </c>
      <c r="C18" s="21" t="inlineStr">
        <is>
          <t>Crassula ovata</t>
        </is>
      </c>
      <c r="D18" s="22" t="inlineStr">
        <is>
          <t>Dormitorio</t>
        </is>
      </c>
      <c r="E18" s="22" t="inlineStr">
        <is>
          <t>Luz brillante</t>
        </is>
      </c>
      <c r="F18" s="20" t="n">
        <v>18</v>
      </c>
      <c r="G18" s="19">
        <f>$D$4-5</f>
        <v/>
      </c>
      <c r="H18" s="16">
        <f>IF(OR(B18="",G18="",F18=""),"",G18+F18)</f>
        <v/>
      </c>
      <c r="I18" s="17">
        <f>IF(H18="","",H18-$D$4)</f>
        <v/>
      </c>
      <c r="J18" s="15">
        <f>IF(B18="","",IF(H18="","Sin registrar",IF(I18&lt;0,"Atrasada",IF(I18=0,"Hoy",IF(I18&lt;=$G$4,"Próximos días","Al día")))))</f>
        <v/>
      </c>
      <c r="K18" s="20" t="n">
        <v>60</v>
      </c>
      <c r="L18" s="19">
        <f>$D$4-40</f>
        <v/>
      </c>
      <c r="M18" s="16">
        <f>IF(OR(B18="",K18="",L18=""),"",L18+K18)</f>
        <v/>
      </c>
      <c r="N18" s="15">
        <f>IF(B18="","",IF(M18="","Sin abonado",IF(M18&lt;=$D$4,"Toca abonar","Al día")))</f>
        <v/>
      </c>
      <c r="O18" s="20" t="n">
        <v>36</v>
      </c>
      <c r="P18" s="19">
        <f>EDATE($D$4,-26)</f>
        <v/>
      </c>
      <c r="Q18" s="16">
        <f>IF(OR(B18="",O18="",P18=""),"",EDATE(P18,O18))</f>
        <v/>
      </c>
      <c r="R18" s="15">
        <f>IF(B18="","",IF(Q18="","Sin registrar",IF(Q18&lt;=$D$4,"Toca trasplantar",IF(Q18-$D$4&lt;=$L$4,"Próximamente","Al día"))))</f>
        <v/>
      </c>
      <c r="S18" s="23">
        <f>IF(OR(B18="",I18=""),"",RANK(I18,$I$7:$I$46,1)+COUNTIF($I$7:I18,I18)-1)</f>
        <v/>
      </c>
    </row>
    <row r="19">
      <c r="B19" s="21" t="n"/>
      <c r="C19" s="21" t="n"/>
      <c r="D19" s="22" t="n"/>
      <c r="E19" s="22" t="n"/>
      <c r="F19" s="20" t="n"/>
      <c r="G19" s="19" t="n"/>
      <c r="H19" s="16">
        <f>IF(OR(B19="",G19="",F19=""),"",G19+F19)</f>
        <v/>
      </c>
      <c r="I19" s="17">
        <f>IF(H19="","",H19-$D$4)</f>
        <v/>
      </c>
      <c r="J19" s="15">
        <f>IF(B19="","",IF(H19="","Sin registrar",IF(I19&lt;0,"Atrasada",IF(I19=0,"Hoy",IF(I19&lt;=$G$4,"Próximos días","Al día")))))</f>
        <v/>
      </c>
      <c r="K19" s="20" t="n"/>
      <c r="L19" s="19" t="n"/>
      <c r="M19" s="16">
        <f>IF(OR(B19="",K19="",L19=""),"",L19+K19)</f>
        <v/>
      </c>
      <c r="N19" s="15">
        <f>IF(B19="","",IF(M19="","Sin abonado",IF(M19&lt;=$D$4,"Toca abonar","Al día")))</f>
        <v/>
      </c>
      <c r="O19" s="20" t="n"/>
      <c r="P19" s="19" t="n"/>
      <c r="Q19" s="16">
        <f>IF(OR(B19="",O19="",P19=""),"",EDATE(P19,O19))</f>
        <v/>
      </c>
      <c r="R19" s="15">
        <f>IF(B19="","",IF(Q19="","Sin registrar",IF(Q19&lt;=$D$4,"Toca trasplantar",IF(Q19-$D$4&lt;=$L$4,"Próximamente","Al día"))))</f>
        <v/>
      </c>
      <c r="S19" s="23">
        <f>IF(OR(B19="",I19=""),"",RANK(I19,$I$7:$I$46,1)+COUNTIF($I$7:I19,I19)-1)</f>
        <v/>
      </c>
    </row>
    <row r="20">
      <c r="B20" s="21" t="n"/>
      <c r="C20" s="21" t="n"/>
      <c r="D20" s="22" t="n"/>
      <c r="E20" s="22" t="n"/>
      <c r="F20" s="20" t="n"/>
      <c r="G20" s="19" t="n"/>
      <c r="H20" s="16">
        <f>IF(OR(B20="",G20="",F20=""),"",G20+F20)</f>
        <v/>
      </c>
      <c r="I20" s="17">
        <f>IF(H20="","",H20-$D$4)</f>
        <v/>
      </c>
      <c r="J20" s="15">
        <f>IF(B20="","",IF(H20="","Sin registrar",IF(I20&lt;0,"Atrasada",IF(I20=0,"Hoy",IF(I20&lt;=$G$4,"Próximos días","Al día")))))</f>
        <v/>
      </c>
      <c r="K20" s="20" t="n"/>
      <c r="L20" s="19" t="n"/>
      <c r="M20" s="16">
        <f>IF(OR(B20="",K20="",L20=""),"",L20+K20)</f>
        <v/>
      </c>
      <c r="N20" s="15">
        <f>IF(B20="","",IF(M20="","Sin abonado",IF(M20&lt;=$D$4,"Toca abonar","Al día")))</f>
        <v/>
      </c>
      <c r="O20" s="20" t="n"/>
      <c r="P20" s="19" t="n"/>
      <c r="Q20" s="16">
        <f>IF(OR(B20="",O20="",P20=""),"",EDATE(P20,O20))</f>
        <v/>
      </c>
      <c r="R20" s="15">
        <f>IF(B20="","",IF(Q20="","Sin registrar",IF(Q20&lt;=$D$4,"Toca trasplantar",IF(Q20-$D$4&lt;=$L$4,"Próximamente","Al día"))))</f>
        <v/>
      </c>
      <c r="S20" s="23">
        <f>IF(OR(B20="",I20=""),"",RANK(I20,$I$7:$I$46,1)+COUNTIF($I$7:I20,I20)-1)</f>
        <v/>
      </c>
    </row>
    <row r="21">
      <c r="B21" s="21" t="n"/>
      <c r="C21" s="21" t="n"/>
      <c r="D21" s="22" t="n"/>
      <c r="E21" s="22" t="n"/>
      <c r="F21" s="20" t="n"/>
      <c r="G21" s="19" t="n"/>
      <c r="H21" s="16">
        <f>IF(OR(B21="",G21="",F21=""),"",G21+F21)</f>
        <v/>
      </c>
      <c r="I21" s="17">
        <f>IF(H21="","",H21-$D$4)</f>
        <v/>
      </c>
      <c r="J21" s="15">
        <f>IF(B21="","",IF(H21="","Sin registrar",IF(I21&lt;0,"Atrasada",IF(I21=0,"Hoy",IF(I21&lt;=$G$4,"Próximos días","Al día")))))</f>
        <v/>
      </c>
      <c r="K21" s="20" t="n"/>
      <c r="L21" s="19" t="n"/>
      <c r="M21" s="16">
        <f>IF(OR(B21="",K21="",L21=""),"",L21+K21)</f>
        <v/>
      </c>
      <c r="N21" s="15">
        <f>IF(B21="","",IF(M21="","Sin abonado",IF(M21&lt;=$D$4,"Toca abonar","Al día")))</f>
        <v/>
      </c>
      <c r="O21" s="20" t="n"/>
      <c r="P21" s="19" t="n"/>
      <c r="Q21" s="16">
        <f>IF(OR(B21="",O21="",P21=""),"",EDATE(P21,O21))</f>
        <v/>
      </c>
      <c r="R21" s="15">
        <f>IF(B21="","",IF(Q21="","Sin registrar",IF(Q21&lt;=$D$4,"Toca trasplantar",IF(Q21-$D$4&lt;=$L$4,"Próximamente","Al día"))))</f>
        <v/>
      </c>
      <c r="S21" s="23">
        <f>IF(OR(B21="",I21=""),"",RANK(I21,$I$7:$I$46,1)+COUNTIF($I$7:I21,I21)-1)</f>
        <v/>
      </c>
    </row>
    <row r="22">
      <c r="B22" s="21" t="n"/>
      <c r="C22" s="21" t="n"/>
      <c r="D22" s="22" t="n"/>
      <c r="E22" s="22" t="n"/>
      <c r="F22" s="20" t="n"/>
      <c r="G22" s="19" t="n"/>
      <c r="H22" s="16">
        <f>IF(OR(B22="",G22="",F22=""),"",G22+F22)</f>
        <v/>
      </c>
      <c r="I22" s="17">
        <f>IF(H22="","",H22-$D$4)</f>
        <v/>
      </c>
      <c r="J22" s="15">
        <f>IF(B22="","",IF(H22="","Sin registrar",IF(I22&lt;0,"Atrasada",IF(I22=0,"Hoy",IF(I22&lt;=$G$4,"Próximos días","Al día")))))</f>
        <v/>
      </c>
      <c r="K22" s="20" t="n"/>
      <c r="L22" s="19" t="n"/>
      <c r="M22" s="16">
        <f>IF(OR(B22="",K22="",L22=""),"",L22+K22)</f>
        <v/>
      </c>
      <c r="N22" s="15">
        <f>IF(B22="","",IF(M22="","Sin abonado",IF(M22&lt;=$D$4,"Toca abonar","Al día")))</f>
        <v/>
      </c>
      <c r="O22" s="20" t="n"/>
      <c r="P22" s="19" t="n"/>
      <c r="Q22" s="16">
        <f>IF(OR(B22="",O22="",P22=""),"",EDATE(P22,O22))</f>
        <v/>
      </c>
      <c r="R22" s="15">
        <f>IF(B22="","",IF(Q22="","Sin registrar",IF(Q22&lt;=$D$4,"Toca trasplantar",IF(Q22-$D$4&lt;=$L$4,"Próximamente","Al día"))))</f>
        <v/>
      </c>
      <c r="S22" s="23">
        <f>IF(OR(B22="",I22=""),"",RANK(I22,$I$7:$I$46,1)+COUNTIF($I$7:I22,I22)-1)</f>
        <v/>
      </c>
    </row>
    <row r="23">
      <c r="B23" s="21" t="n"/>
      <c r="C23" s="21" t="n"/>
      <c r="D23" s="22" t="n"/>
      <c r="E23" s="22" t="n"/>
      <c r="F23" s="20" t="n"/>
      <c r="G23" s="19" t="n"/>
      <c r="H23" s="16">
        <f>IF(OR(B23="",G23="",F23=""),"",G23+F23)</f>
        <v/>
      </c>
      <c r="I23" s="17">
        <f>IF(H23="","",H23-$D$4)</f>
        <v/>
      </c>
      <c r="J23" s="15">
        <f>IF(B23="","",IF(H23="","Sin registrar",IF(I23&lt;0,"Atrasada",IF(I23=0,"Hoy",IF(I23&lt;=$G$4,"Próximos días","Al día")))))</f>
        <v/>
      </c>
      <c r="K23" s="20" t="n"/>
      <c r="L23" s="19" t="n"/>
      <c r="M23" s="16">
        <f>IF(OR(B23="",K23="",L23=""),"",L23+K23)</f>
        <v/>
      </c>
      <c r="N23" s="15">
        <f>IF(B23="","",IF(M23="","Sin abonado",IF(M23&lt;=$D$4,"Toca abonar","Al día")))</f>
        <v/>
      </c>
      <c r="O23" s="20" t="n"/>
      <c r="P23" s="19" t="n"/>
      <c r="Q23" s="16">
        <f>IF(OR(B23="",O23="",P23=""),"",EDATE(P23,O23))</f>
        <v/>
      </c>
      <c r="R23" s="15">
        <f>IF(B23="","",IF(Q23="","Sin registrar",IF(Q23&lt;=$D$4,"Toca trasplantar",IF(Q23-$D$4&lt;=$L$4,"Próximamente","Al día"))))</f>
        <v/>
      </c>
      <c r="S23" s="23">
        <f>IF(OR(B23="",I23=""),"",RANK(I23,$I$7:$I$46,1)+COUNTIF($I$7:I23,I23)-1)</f>
        <v/>
      </c>
    </row>
    <row r="24">
      <c r="B24" s="21" t="n"/>
      <c r="C24" s="21" t="n"/>
      <c r="D24" s="22" t="n"/>
      <c r="E24" s="22" t="n"/>
      <c r="F24" s="20" t="n"/>
      <c r="G24" s="19" t="n"/>
      <c r="H24" s="16">
        <f>IF(OR(B24="",G24="",F24=""),"",G24+F24)</f>
        <v/>
      </c>
      <c r="I24" s="17">
        <f>IF(H24="","",H24-$D$4)</f>
        <v/>
      </c>
      <c r="J24" s="15">
        <f>IF(B24="","",IF(H24="","Sin registrar",IF(I24&lt;0,"Atrasada",IF(I24=0,"Hoy",IF(I24&lt;=$G$4,"Próximos días","Al día")))))</f>
        <v/>
      </c>
      <c r="K24" s="20" t="n"/>
      <c r="L24" s="19" t="n"/>
      <c r="M24" s="16">
        <f>IF(OR(B24="",K24="",L24=""),"",L24+K24)</f>
        <v/>
      </c>
      <c r="N24" s="15">
        <f>IF(B24="","",IF(M24="","Sin abonado",IF(M24&lt;=$D$4,"Toca abonar","Al día")))</f>
        <v/>
      </c>
      <c r="O24" s="20" t="n"/>
      <c r="P24" s="19" t="n"/>
      <c r="Q24" s="16">
        <f>IF(OR(B24="",O24="",P24=""),"",EDATE(P24,O24))</f>
        <v/>
      </c>
      <c r="R24" s="15">
        <f>IF(B24="","",IF(Q24="","Sin registrar",IF(Q24&lt;=$D$4,"Toca trasplantar",IF(Q24-$D$4&lt;=$L$4,"Próximamente","Al día"))))</f>
        <v/>
      </c>
      <c r="S24" s="23">
        <f>IF(OR(B24="",I24=""),"",RANK(I24,$I$7:$I$46,1)+COUNTIF($I$7:I24,I24)-1)</f>
        <v/>
      </c>
    </row>
    <row r="25">
      <c r="B25" s="21" t="n"/>
      <c r="C25" s="21" t="n"/>
      <c r="D25" s="22" t="n"/>
      <c r="E25" s="22" t="n"/>
      <c r="F25" s="20" t="n"/>
      <c r="G25" s="19" t="n"/>
      <c r="H25" s="16">
        <f>IF(OR(B25="",G25="",F25=""),"",G25+F25)</f>
        <v/>
      </c>
      <c r="I25" s="17">
        <f>IF(H25="","",H25-$D$4)</f>
        <v/>
      </c>
      <c r="J25" s="15">
        <f>IF(B25="","",IF(H25="","Sin registrar",IF(I25&lt;0,"Atrasada",IF(I25=0,"Hoy",IF(I25&lt;=$G$4,"Próximos días","Al día")))))</f>
        <v/>
      </c>
      <c r="K25" s="20" t="n"/>
      <c r="L25" s="19" t="n"/>
      <c r="M25" s="16">
        <f>IF(OR(B25="",K25="",L25=""),"",L25+K25)</f>
        <v/>
      </c>
      <c r="N25" s="15">
        <f>IF(B25="","",IF(M25="","Sin abonado",IF(M25&lt;=$D$4,"Toca abonar","Al día")))</f>
        <v/>
      </c>
      <c r="O25" s="20" t="n"/>
      <c r="P25" s="19" t="n"/>
      <c r="Q25" s="16">
        <f>IF(OR(B25="",O25="",P25=""),"",EDATE(P25,O25))</f>
        <v/>
      </c>
      <c r="R25" s="15">
        <f>IF(B25="","",IF(Q25="","Sin registrar",IF(Q25&lt;=$D$4,"Toca trasplantar",IF(Q25-$D$4&lt;=$L$4,"Próximamente","Al día"))))</f>
        <v/>
      </c>
      <c r="S25" s="23">
        <f>IF(OR(B25="",I25=""),"",RANK(I25,$I$7:$I$46,1)+COUNTIF($I$7:I25,I25)-1)</f>
        <v/>
      </c>
    </row>
    <row r="26">
      <c r="B26" s="21" t="n"/>
      <c r="C26" s="21" t="n"/>
      <c r="D26" s="22" t="n"/>
      <c r="E26" s="22" t="n"/>
      <c r="F26" s="20" t="n"/>
      <c r="G26" s="19" t="n"/>
      <c r="H26" s="16">
        <f>IF(OR(B26="",G26="",F26=""),"",G26+F26)</f>
        <v/>
      </c>
      <c r="I26" s="17">
        <f>IF(H26="","",H26-$D$4)</f>
        <v/>
      </c>
      <c r="J26" s="15">
        <f>IF(B26="","",IF(H26="","Sin registrar",IF(I26&lt;0,"Atrasada",IF(I26=0,"Hoy",IF(I26&lt;=$G$4,"Próximos días","Al día")))))</f>
        <v/>
      </c>
      <c r="K26" s="20" t="n"/>
      <c r="L26" s="19" t="n"/>
      <c r="M26" s="16">
        <f>IF(OR(B26="",K26="",L26=""),"",L26+K26)</f>
        <v/>
      </c>
      <c r="N26" s="15">
        <f>IF(B26="","",IF(M26="","Sin abonado",IF(M26&lt;=$D$4,"Toca abonar","Al día")))</f>
        <v/>
      </c>
      <c r="O26" s="20" t="n"/>
      <c r="P26" s="19" t="n"/>
      <c r="Q26" s="16">
        <f>IF(OR(B26="",O26="",P26=""),"",EDATE(P26,O26))</f>
        <v/>
      </c>
      <c r="R26" s="15">
        <f>IF(B26="","",IF(Q26="","Sin registrar",IF(Q26&lt;=$D$4,"Toca trasplantar",IF(Q26-$D$4&lt;=$L$4,"Próximamente","Al día"))))</f>
        <v/>
      </c>
      <c r="S26" s="23">
        <f>IF(OR(B26="",I26=""),"",RANK(I26,$I$7:$I$46,1)+COUNTIF($I$7:I26,I26)-1)</f>
        <v/>
      </c>
    </row>
    <row r="27">
      <c r="B27" s="21" t="n"/>
      <c r="C27" s="21" t="n"/>
      <c r="D27" s="22" t="n"/>
      <c r="E27" s="22" t="n"/>
      <c r="F27" s="20" t="n"/>
      <c r="G27" s="19" t="n"/>
      <c r="H27" s="16">
        <f>IF(OR(B27="",G27="",F27=""),"",G27+F27)</f>
        <v/>
      </c>
      <c r="I27" s="17">
        <f>IF(H27="","",H27-$D$4)</f>
        <v/>
      </c>
      <c r="J27" s="15">
        <f>IF(B27="","",IF(H27="","Sin registrar",IF(I27&lt;0,"Atrasada",IF(I27=0,"Hoy",IF(I27&lt;=$G$4,"Próximos días","Al día")))))</f>
        <v/>
      </c>
      <c r="K27" s="20" t="n"/>
      <c r="L27" s="19" t="n"/>
      <c r="M27" s="16">
        <f>IF(OR(B27="",K27="",L27=""),"",L27+K27)</f>
        <v/>
      </c>
      <c r="N27" s="15">
        <f>IF(B27="","",IF(M27="","Sin abonado",IF(M27&lt;=$D$4,"Toca abonar","Al día")))</f>
        <v/>
      </c>
      <c r="O27" s="20" t="n"/>
      <c r="P27" s="19" t="n"/>
      <c r="Q27" s="16">
        <f>IF(OR(B27="",O27="",P27=""),"",EDATE(P27,O27))</f>
        <v/>
      </c>
      <c r="R27" s="15">
        <f>IF(B27="","",IF(Q27="","Sin registrar",IF(Q27&lt;=$D$4,"Toca trasplantar",IF(Q27-$D$4&lt;=$L$4,"Próximamente","Al día"))))</f>
        <v/>
      </c>
      <c r="S27" s="23">
        <f>IF(OR(B27="",I27=""),"",RANK(I27,$I$7:$I$46,1)+COUNTIF($I$7:I27,I27)-1)</f>
        <v/>
      </c>
    </row>
    <row r="28">
      <c r="B28" s="21" t="n"/>
      <c r="C28" s="21" t="n"/>
      <c r="D28" s="22" t="n"/>
      <c r="E28" s="22" t="n"/>
      <c r="F28" s="20" t="n"/>
      <c r="G28" s="19" t="n"/>
      <c r="H28" s="16">
        <f>IF(OR(B28="",G28="",F28=""),"",G28+F28)</f>
        <v/>
      </c>
      <c r="I28" s="17">
        <f>IF(H28="","",H28-$D$4)</f>
        <v/>
      </c>
      <c r="J28" s="15">
        <f>IF(B28="","",IF(H28="","Sin registrar",IF(I28&lt;0,"Atrasada",IF(I28=0,"Hoy",IF(I28&lt;=$G$4,"Próximos días","Al día")))))</f>
        <v/>
      </c>
      <c r="K28" s="20" t="n"/>
      <c r="L28" s="19" t="n"/>
      <c r="M28" s="16">
        <f>IF(OR(B28="",K28="",L28=""),"",L28+K28)</f>
        <v/>
      </c>
      <c r="N28" s="15">
        <f>IF(B28="","",IF(M28="","Sin abonado",IF(M28&lt;=$D$4,"Toca abonar","Al día")))</f>
        <v/>
      </c>
      <c r="O28" s="20" t="n"/>
      <c r="P28" s="19" t="n"/>
      <c r="Q28" s="16">
        <f>IF(OR(B28="",O28="",P28=""),"",EDATE(P28,O28))</f>
        <v/>
      </c>
      <c r="R28" s="15">
        <f>IF(B28="","",IF(Q28="","Sin registrar",IF(Q28&lt;=$D$4,"Toca trasplantar",IF(Q28-$D$4&lt;=$L$4,"Próximamente","Al día"))))</f>
        <v/>
      </c>
      <c r="S28" s="23">
        <f>IF(OR(B28="",I28=""),"",RANK(I28,$I$7:$I$46,1)+COUNTIF($I$7:I28,I28)-1)</f>
        <v/>
      </c>
    </row>
    <row r="29">
      <c r="B29" s="21" t="n"/>
      <c r="C29" s="21" t="n"/>
      <c r="D29" s="22" t="n"/>
      <c r="E29" s="22" t="n"/>
      <c r="F29" s="20" t="n"/>
      <c r="G29" s="19" t="n"/>
      <c r="H29" s="16">
        <f>IF(OR(B29="",G29="",F29=""),"",G29+F29)</f>
        <v/>
      </c>
      <c r="I29" s="17">
        <f>IF(H29="","",H29-$D$4)</f>
        <v/>
      </c>
      <c r="J29" s="15">
        <f>IF(B29="","",IF(H29="","Sin registrar",IF(I29&lt;0,"Atrasada",IF(I29=0,"Hoy",IF(I29&lt;=$G$4,"Próximos días","Al día")))))</f>
        <v/>
      </c>
      <c r="K29" s="20" t="n"/>
      <c r="L29" s="19" t="n"/>
      <c r="M29" s="16">
        <f>IF(OR(B29="",K29="",L29=""),"",L29+K29)</f>
        <v/>
      </c>
      <c r="N29" s="15">
        <f>IF(B29="","",IF(M29="","Sin abonado",IF(M29&lt;=$D$4,"Toca abonar","Al día")))</f>
        <v/>
      </c>
      <c r="O29" s="20" t="n"/>
      <c r="P29" s="19" t="n"/>
      <c r="Q29" s="16">
        <f>IF(OR(B29="",O29="",P29=""),"",EDATE(P29,O29))</f>
        <v/>
      </c>
      <c r="R29" s="15">
        <f>IF(B29="","",IF(Q29="","Sin registrar",IF(Q29&lt;=$D$4,"Toca trasplantar",IF(Q29-$D$4&lt;=$L$4,"Próximamente","Al día"))))</f>
        <v/>
      </c>
      <c r="S29" s="23">
        <f>IF(OR(B29="",I29=""),"",RANK(I29,$I$7:$I$46,1)+COUNTIF($I$7:I29,I29)-1)</f>
        <v/>
      </c>
    </row>
    <row r="30">
      <c r="B30" s="21" t="n"/>
      <c r="C30" s="21" t="n"/>
      <c r="D30" s="22" t="n"/>
      <c r="E30" s="22" t="n"/>
      <c r="F30" s="20" t="n"/>
      <c r="G30" s="19" t="n"/>
      <c r="H30" s="16">
        <f>IF(OR(B30="",G30="",F30=""),"",G30+F30)</f>
        <v/>
      </c>
      <c r="I30" s="17">
        <f>IF(H30="","",H30-$D$4)</f>
        <v/>
      </c>
      <c r="J30" s="15">
        <f>IF(B30="","",IF(H30="","Sin registrar",IF(I30&lt;0,"Atrasada",IF(I30=0,"Hoy",IF(I30&lt;=$G$4,"Próximos días","Al día")))))</f>
        <v/>
      </c>
      <c r="K30" s="20" t="n"/>
      <c r="L30" s="19" t="n"/>
      <c r="M30" s="16">
        <f>IF(OR(B30="",K30="",L30=""),"",L30+K30)</f>
        <v/>
      </c>
      <c r="N30" s="15">
        <f>IF(B30="","",IF(M30="","Sin abonado",IF(M30&lt;=$D$4,"Toca abonar","Al día")))</f>
        <v/>
      </c>
      <c r="O30" s="20" t="n"/>
      <c r="P30" s="19" t="n"/>
      <c r="Q30" s="16">
        <f>IF(OR(B30="",O30="",P30=""),"",EDATE(P30,O30))</f>
        <v/>
      </c>
      <c r="R30" s="15">
        <f>IF(B30="","",IF(Q30="","Sin registrar",IF(Q30&lt;=$D$4,"Toca trasplantar",IF(Q30-$D$4&lt;=$L$4,"Próximamente","Al día"))))</f>
        <v/>
      </c>
      <c r="S30" s="23">
        <f>IF(OR(B30="",I30=""),"",RANK(I30,$I$7:$I$46,1)+COUNTIF($I$7:I30,I30)-1)</f>
        <v/>
      </c>
    </row>
    <row r="31">
      <c r="B31" s="21" t="n"/>
      <c r="C31" s="21" t="n"/>
      <c r="D31" s="22" t="n"/>
      <c r="E31" s="22" t="n"/>
      <c r="F31" s="20" t="n"/>
      <c r="G31" s="19" t="n"/>
      <c r="H31" s="16">
        <f>IF(OR(B31="",G31="",F31=""),"",G31+F31)</f>
        <v/>
      </c>
      <c r="I31" s="17">
        <f>IF(H31="","",H31-$D$4)</f>
        <v/>
      </c>
      <c r="J31" s="15">
        <f>IF(B31="","",IF(H31="","Sin registrar",IF(I31&lt;0,"Atrasada",IF(I31=0,"Hoy",IF(I31&lt;=$G$4,"Próximos días","Al día")))))</f>
        <v/>
      </c>
      <c r="K31" s="20" t="n"/>
      <c r="L31" s="19" t="n"/>
      <c r="M31" s="16">
        <f>IF(OR(B31="",K31="",L31=""),"",L31+K31)</f>
        <v/>
      </c>
      <c r="N31" s="15">
        <f>IF(B31="","",IF(M31="","Sin abonado",IF(M31&lt;=$D$4,"Toca abonar","Al día")))</f>
        <v/>
      </c>
      <c r="O31" s="20" t="n"/>
      <c r="P31" s="19" t="n"/>
      <c r="Q31" s="16">
        <f>IF(OR(B31="",O31="",P31=""),"",EDATE(P31,O31))</f>
        <v/>
      </c>
      <c r="R31" s="15">
        <f>IF(B31="","",IF(Q31="","Sin registrar",IF(Q31&lt;=$D$4,"Toca trasplantar",IF(Q31-$D$4&lt;=$L$4,"Próximamente","Al día"))))</f>
        <v/>
      </c>
      <c r="S31" s="23">
        <f>IF(OR(B31="",I31=""),"",RANK(I31,$I$7:$I$46,1)+COUNTIF($I$7:I31,I31)-1)</f>
        <v/>
      </c>
    </row>
    <row r="32">
      <c r="B32" s="21" t="n"/>
      <c r="C32" s="21" t="n"/>
      <c r="D32" s="22" t="n"/>
      <c r="E32" s="22" t="n"/>
      <c r="F32" s="20" t="n"/>
      <c r="G32" s="19" t="n"/>
      <c r="H32" s="16">
        <f>IF(OR(B32="",G32="",F32=""),"",G32+F32)</f>
        <v/>
      </c>
      <c r="I32" s="17">
        <f>IF(H32="","",H32-$D$4)</f>
        <v/>
      </c>
      <c r="J32" s="15">
        <f>IF(B32="","",IF(H32="","Sin registrar",IF(I32&lt;0,"Atrasada",IF(I32=0,"Hoy",IF(I32&lt;=$G$4,"Próximos días","Al día")))))</f>
        <v/>
      </c>
      <c r="K32" s="20" t="n"/>
      <c r="L32" s="19" t="n"/>
      <c r="M32" s="16">
        <f>IF(OR(B32="",K32="",L32=""),"",L32+K32)</f>
        <v/>
      </c>
      <c r="N32" s="15">
        <f>IF(B32="","",IF(M32="","Sin abonado",IF(M32&lt;=$D$4,"Toca abonar","Al día")))</f>
        <v/>
      </c>
      <c r="O32" s="20" t="n"/>
      <c r="P32" s="19" t="n"/>
      <c r="Q32" s="16">
        <f>IF(OR(B32="",O32="",P32=""),"",EDATE(P32,O32))</f>
        <v/>
      </c>
      <c r="R32" s="15">
        <f>IF(B32="","",IF(Q32="","Sin registrar",IF(Q32&lt;=$D$4,"Toca trasplantar",IF(Q32-$D$4&lt;=$L$4,"Próximamente","Al día"))))</f>
        <v/>
      </c>
      <c r="S32" s="23">
        <f>IF(OR(B32="",I32=""),"",RANK(I32,$I$7:$I$46,1)+COUNTIF($I$7:I32,I32)-1)</f>
        <v/>
      </c>
    </row>
    <row r="33">
      <c r="B33" s="21" t="n"/>
      <c r="C33" s="21" t="n"/>
      <c r="D33" s="22" t="n"/>
      <c r="E33" s="22" t="n"/>
      <c r="F33" s="20" t="n"/>
      <c r="G33" s="19" t="n"/>
      <c r="H33" s="16">
        <f>IF(OR(B33="",G33="",F33=""),"",G33+F33)</f>
        <v/>
      </c>
      <c r="I33" s="17">
        <f>IF(H33="","",H33-$D$4)</f>
        <v/>
      </c>
      <c r="J33" s="15">
        <f>IF(B33="","",IF(H33="","Sin registrar",IF(I33&lt;0,"Atrasada",IF(I33=0,"Hoy",IF(I33&lt;=$G$4,"Próximos días","Al día")))))</f>
        <v/>
      </c>
      <c r="K33" s="20" t="n"/>
      <c r="L33" s="19" t="n"/>
      <c r="M33" s="16">
        <f>IF(OR(B33="",K33="",L33=""),"",L33+K33)</f>
        <v/>
      </c>
      <c r="N33" s="15">
        <f>IF(B33="","",IF(M33="","Sin abonado",IF(M33&lt;=$D$4,"Toca abonar","Al día")))</f>
        <v/>
      </c>
      <c r="O33" s="20" t="n"/>
      <c r="P33" s="19" t="n"/>
      <c r="Q33" s="16">
        <f>IF(OR(B33="",O33="",P33=""),"",EDATE(P33,O33))</f>
        <v/>
      </c>
      <c r="R33" s="15">
        <f>IF(B33="","",IF(Q33="","Sin registrar",IF(Q33&lt;=$D$4,"Toca trasplantar",IF(Q33-$D$4&lt;=$L$4,"Próximamente","Al día"))))</f>
        <v/>
      </c>
      <c r="S33" s="23">
        <f>IF(OR(B33="",I33=""),"",RANK(I33,$I$7:$I$46,1)+COUNTIF($I$7:I33,I33)-1)</f>
        <v/>
      </c>
    </row>
    <row r="34">
      <c r="B34" s="21" t="n"/>
      <c r="C34" s="21" t="n"/>
      <c r="D34" s="22" t="n"/>
      <c r="E34" s="22" t="n"/>
      <c r="F34" s="20" t="n"/>
      <c r="G34" s="19" t="n"/>
      <c r="H34" s="16">
        <f>IF(OR(B34="",G34="",F34=""),"",G34+F34)</f>
        <v/>
      </c>
      <c r="I34" s="17">
        <f>IF(H34="","",H34-$D$4)</f>
        <v/>
      </c>
      <c r="J34" s="15">
        <f>IF(B34="","",IF(H34="","Sin registrar",IF(I34&lt;0,"Atrasada",IF(I34=0,"Hoy",IF(I34&lt;=$G$4,"Próximos días","Al día")))))</f>
        <v/>
      </c>
      <c r="K34" s="20" t="n"/>
      <c r="L34" s="19" t="n"/>
      <c r="M34" s="16">
        <f>IF(OR(B34="",K34="",L34=""),"",L34+K34)</f>
        <v/>
      </c>
      <c r="N34" s="15">
        <f>IF(B34="","",IF(M34="","Sin abonado",IF(M34&lt;=$D$4,"Toca abonar","Al día")))</f>
        <v/>
      </c>
      <c r="O34" s="20" t="n"/>
      <c r="P34" s="19" t="n"/>
      <c r="Q34" s="16">
        <f>IF(OR(B34="",O34="",P34=""),"",EDATE(P34,O34))</f>
        <v/>
      </c>
      <c r="R34" s="15">
        <f>IF(B34="","",IF(Q34="","Sin registrar",IF(Q34&lt;=$D$4,"Toca trasplantar",IF(Q34-$D$4&lt;=$L$4,"Próximamente","Al día"))))</f>
        <v/>
      </c>
      <c r="S34" s="23">
        <f>IF(OR(B34="",I34=""),"",RANK(I34,$I$7:$I$46,1)+COUNTIF($I$7:I34,I34)-1)</f>
        <v/>
      </c>
    </row>
    <row r="35">
      <c r="B35" s="21" t="n"/>
      <c r="C35" s="21" t="n"/>
      <c r="D35" s="22" t="n"/>
      <c r="E35" s="22" t="n"/>
      <c r="F35" s="20" t="n"/>
      <c r="G35" s="19" t="n"/>
      <c r="H35" s="16">
        <f>IF(OR(B35="",G35="",F35=""),"",G35+F35)</f>
        <v/>
      </c>
      <c r="I35" s="17">
        <f>IF(H35="","",H35-$D$4)</f>
        <v/>
      </c>
      <c r="J35" s="15">
        <f>IF(B35="","",IF(H35="","Sin registrar",IF(I35&lt;0,"Atrasada",IF(I35=0,"Hoy",IF(I35&lt;=$G$4,"Próximos días","Al día")))))</f>
        <v/>
      </c>
      <c r="K35" s="20" t="n"/>
      <c r="L35" s="19" t="n"/>
      <c r="M35" s="16">
        <f>IF(OR(B35="",K35="",L35=""),"",L35+K35)</f>
        <v/>
      </c>
      <c r="N35" s="15">
        <f>IF(B35="","",IF(M35="","Sin abonado",IF(M35&lt;=$D$4,"Toca abonar","Al día")))</f>
        <v/>
      </c>
      <c r="O35" s="20" t="n"/>
      <c r="P35" s="19" t="n"/>
      <c r="Q35" s="16">
        <f>IF(OR(B35="",O35="",P35=""),"",EDATE(P35,O35))</f>
        <v/>
      </c>
      <c r="R35" s="15">
        <f>IF(B35="","",IF(Q35="","Sin registrar",IF(Q35&lt;=$D$4,"Toca trasplantar",IF(Q35-$D$4&lt;=$L$4,"Próximamente","Al día"))))</f>
        <v/>
      </c>
      <c r="S35" s="23">
        <f>IF(OR(B35="",I35=""),"",RANK(I35,$I$7:$I$46,1)+COUNTIF($I$7:I35,I35)-1)</f>
        <v/>
      </c>
    </row>
    <row r="36">
      <c r="B36" s="21" t="n"/>
      <c r="C36" s="21" t="n"/>
      <c r="D36" s="22" t="n"/>
      <c r="E36" s="22" t="n"/>
      <c r="F36" s="20" t="n"/>
      <c r="G36" s="19" t="n"/>
      <c r="H36" s="16">
        <f>IF(OR(B36="",G36="",F36=""),"",G36+F36)</f>
        <v/>
      </c>
      <c r="I36" s="17">
        <f>IF(H36="","",H36-$D$4)</f>
        <v/>
      </c>
      <c r="J36" s="15">
        <f>IF(B36="","",IF(H36="","Sin registrar",IF(I36&lt;0,"Atrasada",IF(I36=0,"Hoy",IF(I36&lt;=$G$4,"Próximos días","Al día")))))</f>
        <v/>
      </c>
      <c r="K36" s="20" t="n"/>
      <c r="L36" s="19" t="n"/>
      <c r="M36" s="16">
        <f>IF(OR(B36="",K36="",L36=""),"",L36+K36)</f>
        <v/>
      </c>
      <c r="N36" s="15">
        <f>IF(B36="","",IF(M36="","Sin abonado",IF(M36&lt;=$D$4,"Toca abonar","Al día")))</f>
        <v/>
      </c>
      <c r="O36" s="20" t="n"/>
      <c r="P36" s="19" t="n"/>
      <c r="Q36" s="16">
        <f>IF(OR(B36="",O36="",P36=""),"",EDATE(P36,O36))</f>
        <v/>
      </c>
      <c r="R36" s="15">
        <f>IF(B36="","",IF(Q36="","Sin registrar",IF(Q36&lt;=$D$4,"Toca trasplantar",IF(Q36-$D$4&lt;=$L$4,"Próximamente","Al día"))))</f>
        <v/>
      </c>
      <c r="S36" s="23">
        <f>IF(OR(B36="",I36=""),"",RANK(I36,$I$7:$I$46,1)+COUNTIF($I$7:I36,I36)-1)</f>
        <v/>
      </c>
    </row>
    <row r="37">
      <c r="B37" s="21" t="n"/>
      <c r="C37" s="21" t="n"/>
      <c r="D37" s="22" t="n"/>
      <c r="E37" s="22" t="n"/>
      <c r="F37" s="20" t="n"/>
      <c r="G37" s="19" t="n"/>
      <c r="H37" s="16">
        <f>IF(OR(B37="",G37="",F37=""),"",G37+F37)</f>
        <v/>
      </c>
      <c r="I37" s="17">
        <f>IF(H37="","",H37-$D$4)</f>
        <v/>
      </c>
      <c r="J37" s="15">
        <f>IF(B37="","",IF(H37="","Sin registrar",IF(I37&lt;0,"Atrasada",IF(I37=0,"Hoy",IF(I37&lt;=$G$4,"Próximos días","Al día")))))</f>
        <v/>
      </c>
      <c r="K37" s="20" t="n"/>
      <c r="L37" s="19" t="n"/>
      <c r="M37" s="16">
        <f>IF(OR(B37="",K37="",L37=""),"",L37+K37)</f>
        <v/>
      </c>
      <c r="N37" s="15">
        <f>IF(B37="","",IF(M37="","Sin abonado",IF(M37&lt;=$D$4,"Toca abonar","Al día")))</f>
        <v/>
      </c>
      <c r="O37" s="20" t="n"/>
      <c r="P37" s="19" t="n"/>
      <c r="Q37" s="16">
        <f>IF(OR(B37="",O37="",P37=""),"",EDATE(P37,O37))</f>
        <v/>
      </c>
      <c r="R37" s="15">
        <f>IF(B37="","",IF(Q37="","Sin registrar",IF(Q37&lt;=$D$4,"Toca trasplantar",IF(Q37-$D$4&lt;=$L$4,"Próximamente","Al día"))))</f>
        <v/>
      </c>
      <c r="S37" s="23">
        <f>IF(OR(B37="",I37=""),"",RANK(I37,$I$7:$I$46,1)+COUNTIF($I$7:I37,I37)-1)</f>
        <v/>
      </c>
    </row>
    <row r="38">
      <c r="B38" s="21" t="n"/>
      <c r="C38" s="21" t="n"/>
      <c r="D38" s="22" t="n"/>
      <c r="E38" s="22" t="n"/>
      <c r="F38" s="20" t="n"/>
      <c r="G38" s="19" t="n"/>
      <c r="H38" s="16">
        <f>IF(OR(B38="",G38="",F38=""),"",G38+F38)</f>
        <v/>
      </c>
      <c r="I38" s="17">
        <f>IF(H38="","",H38-$D$4)</f>
        <v/>
      </c>
      <c r="J38" s="15">
        <f>IF(B38="","",IF(H38="","Sin registrar",IF(I38&lt;0,"Atrasada",IF(I38=0,"Hoy",IF(I38&lt;=$G$4,"Próximos días","Al día")))))</f>
        <v/>
      </c>
      <c r="K38" s="20" t="n"/>
      <c r="L38" s="19" t="n"/>
      <c r="M38" s="16">
        <f>IF(OR(B38="",K38="",L38=""),"",L38+K38)</f>
        <v/>
      </c>
      <c r="N38" s="15">
        <f>IF(B38="","",IF(M38="","Sin abonado",IF(M38&lt;=$D$4,"Toca abonar","Al día")))</f>
        <v/>
      </c>
      <c r="O38" s="20" t="n"/>
      <c r="P38" s="19" t="n"/>
      <c r="Q38" s="16">
        <f>IF(OR(B38="",O38="",P38=""),"",EDATE(P38,O38))</f>
        <v/>
      </c>
      <c r="R38" s="15">
        <f>IF(B38="","",IF(Q38="","Sin registrar",IF(Q38&lt;=$D$4,"Toca trasplantar",IF(Q38-$D$4&lt;=$L$4,"Próximamente","Al día"))))</f>
        <v/>
      </c>
      <c r="S38" s="23">
        <f>IF(OR(B38="",I38=""),"",RANK(I38,$I$7:$I$46,1)+COUNTIF($I$7:I38,I38)-1)</f>
        <v/>
      </c>
    </row>
    <row r="39">
      <c r="B39" s="21" t="n"/>
      <c r="C39" s="21" t="n"/>
      <c r="D39" s="22" t="n"/>
      <c r="E39" s="22" t="n"/>
      <c r="F39" s="20" t="n"/>
      <c r="G39" s="19" t="n"/>
      <c r="H39" s="16">
        <f>IF(OR(B39="",G39="",F39=""),"",G39+F39)</f>
        <v/>
      </c>
      <c r="I39" s="17">
        <f>IF(H39="","",H39-$D$4)</f>
        <v/>
      </c>
      <c r="J39" s="15">
        <f>IF(B39="","",IF(H39="","Sin registrar",IF(I39&lt;0,"Atrasada",IF(I39=0,"Hoy",IF(I39&lt;=$G$4,"Próximos días","Al día")))))</f>
        <v/>
      </c>
      <c r="K39" s="20" t="n"/>
      <c r="L39" s="19" t="n"/>
      <c r="M39" s="16">
        <f>IF(OR(B39="",K39="",L39=""),"",L39+K39)</f>
        <v/>
      </c>
      <c r="N39" s="15">
        <f>IF(B39="","",IF(M39="","Sin abonado",IF(M39&lt;=$D$4,"Toca abonar","Al día")))</f>
        <v/>
      </c>
      <c r="O39" s="20" t="n"/>
      <c r="P39" s="19" t="n"/>
      <c r="Q39" s="16">
        <f>IF(OR(B39="",O39="",P39=""),"",EDATE(P39,O39))</f>
        <v/>
      </c>
      <c r="R39" s="15">
        <f>IF(B39="","",IF(Q39="","Sin registrar",IF(Q39&lt;=$D$4,"Toca trasplantar",IF(Q39-$D$4&lt;=$L$4,"Próximamente","Al día"))))</f>
        <v/>
      </c>
      <c r="S39" s="23">
        <f>IF(OR(B39="",I39=""),"",RANK(I39,$I$7:$I$46,1)+COUNTIF($I$7:I39,I39)-1)</f>
        <v/>
      </c>
    </row>
    <row r="40">
      <c r="B40" s="21" t="n"/>
      <c r="C40" s="21" t="n"/>
      <c r="D40" s="22" t="n"/>
      <c r="E40" s="22" t="n"/>
      <c r="F40" s="20" t="n"/>
      <c r="G40" s="19" t="n"/>
      <c r="H40" s="16">
        <f>IF(OR(B40="",G40="",F40=""),"",G40+F40)</f>
        <v/>
      </c>
      <c r="I40" s="17">
        <f>IF(H40="","",H40-$D$4)</f>
        <v/>
      </c>
      <c r="J40" s="15">
        <f>IF(B40="","",IF(H40="","Sin registrar",IF(I40&lt;0,"Atrasada",IF(I40=0,"Hoy",IF(I40&lt;=$G$4,"Próximos días","Al día")))))</f>
        <v/>
      </c>
      <c r="K40" s="20" t="n"/>
      <c r="L40" s="19" t="n"/>
      <c r="M40" s="16">
        <f>IF(OR(B40="",K40="",L40=""),"",L40+K40)</f>
        <v/>
      </c>
      <c r="N40" s="15">
        <f>IF(B40="","",IF(M40="","Sin abonado",IF(M40&lt;=$D$4,"Toca abonar","Al día")))</f>
        <v/>
      </c>
      <c r="O40" s="20" t="n"/>
      <c r="P40" s="19" t="n"/>
      <c r="Q40" s="16">
        <f>IF(OR(B40="",O40="",P40=""),"",EDATE(P40,O40))</f>
        <v/>
      </c>
      <c r="R40" s="15">
        <f>IF(B40="","",IF(Q40="","Sin registrar",IF(Q40&lt;=$D$4,"Toca trasplantar",IF(Q40-$D$4&lt;=$L$4,"Próximamente","Al día"))))</f>
        <v/>
      </c>
      <c r="S40" s="23">
        <f>IF(OR(B40="",I40=""),"",RANK(I40,$I$7:$I$46,1)+COUNTIF($I$7:I40,I40)-1)</f>
        <v/>
      </c>
    </row>
    <row r="41">
      <c r="B41" s="21" t="n"/>
      <c r="C41" s="21" t="n"/>
      <c r="D41" s="22" t="n"/>
      <c r="E41" s="22" t="n"/>
      <c r="F41" s="20" t="n"/>
      <c r="G41" s="19" t="n"/>
      <c r="H41" s="16">
        <f>IF(OR(B41="",G41="",F41=""),"",G41+F41)</f>
        <v/>
      </c>
      <c r="I41" s="17">
        <f>IF(H41="","",H41-$D$4)</f>
        <v/>
      </c>
      <c r="J41" s="15">
        <f>IF(B41="","",IF(H41="","Sin registrar",IF(I41&lt;0,"Atrasada",IF(I41=0,"Hoy",IF(I41&lt;=$G$4,"Próximos días","Al día")))))</f>
        <v/>
      </c>
      <c r="K41" s="20" t="n"/>
      <c r="L41" s="19" t="n"/>
      <c r="M41" s="16">
        <f>IF(OR(B41="",K41="",L41=""),"",L41+K41)</f>
        <v/>
      </c>
      <c r="N41" s="15">
        <f>IF(B41="","",IF(M41="","Sin abonado",IF(M41&lt;=$D$4,"Toca abonar","Al día")))</f>
        <v/>
      </c>
      <c r="O41" s="20" t="n"/>
      <c r="P41" s="19" t="n"/>
      <c r="Q41" s="16">
        <f>IF(OR(B41="",O41="",P41=""),"",EDATE(P41,O41))</f>
        <v/>
      </c>
      <c r="R41" s="15">
        <f>IF(B41="","",IF(Q41="","Sin registrar",IF(Q41&lt;=$D$4,"Toca trasplantar",IF(Q41-$D$4&lt;=$L$4,"Próximamente","Al día"))))</f>
        <v/>
      </c>
      <c r="S41" s="23">
        <f>IF(OR(B41="",I41=""),"",RANK(I41,$I$7:$I$46,1)+COUNTIF($I$7:I41,I41)-1)</f>
        <v/>
      </c>
    </row>
    <row r="42">
      <c r="B42" s="21" t="n"/>
      <c r="C42" s="21" t="n"/>
      <c r="D42" s="22" t="n"/>
      <c r="E42" s="22" t="n"/>
      <c r="F42" s="20" t="n"/>
      <c r="G42" s="19" t="n"/>
      <c r="H42" s="16">
        <f>IF(OR(B42="",G42="",F42=""),"",G42+F42)</f>
        <v/>
      </c>
      <c r="I42" s="17">
        <f>IF(H42="","",H42-$D$4)</f>
        <v/>
      </c>
      <c r="J42" s="15">
        <f>IF(B42="","",IF(H42="","Sin registrar",IF(I42&lt;0,"Atrasada",IF(I42=0,"Hoy",IF(I42&lt;=$G$4,"Próximos días","Al día")))))</f>
        <v/>
      </c>
      <c r="K42" s="20" t="n"/>
      <c r="L42" s="19" t="n"/>
      <c r="M42" s="16">
        <f>IF(OR(B42="",K42="",L42=""),"",L42+K42)</f>
        <v/>
      </c>
      <c r="N42" s="15">
        <f>IF(B42="","",IF(M42="","Sin abonado",IF(M42&lt;=$D$4,"Toca abonar","Al día")))</f>
        <v/>
      </c>
      <c r="O42" s="20" t="n"/>
      <c r="P42" s="19" t="n"/>
      <c r="Q42" s="16">
        <f>IF(OR(B42="",O42="",P42=""),"",EDATE(P42,O42))</f>
        <v/>
      </c>
      <c r="R42" s="15">
        <f>IF(B42="","",IF(Q42="","Sin registrar",IF(Q42&lt;=$D$4,"Toca trasplantar",IF(Q42-$D$4&lt;=$L$4,"Próximamente","Al día"))))</f>
        <v/>
      </c>
      <c r="S42" s="23">
        <f>IF(OR(B42="",I42=""),"",RANK(I42,$I$7:$I$46,1)+COUNTIF($I$7:I42,I42)-1)</f>
        <v/>
      </c>
    </row>
    <row r="43">
      <c r="B43" s="21" t="n"/>
      <c r="C43" s="21" t="n"/>
      <c r="D43" s="22" t="n"/>
      <c r="E43" s="22" t="n"/>
      <c r="F43" s="20" t="n"/>
      <c r="G43" s="19" t="n"/>
      <c r="H43" s="16">
        <f>IF(OR(B43="",G43="",F43=""),"",G43+F43)</f>
        <v/>
      </c>
      <c r="I43" s="17">
        <f>IF(H43="","",H43-$D$4)</f>
        <v/>
      </c>
      <c r="J43" s="15">
        <f>IF(B43="","",IF(H43="","Sin registrar",IF(I43&lt;0,"Atrasada",IF(I43=0,"Hoy",IF(I43&lt;=$G$4,"Próximos días","Al día")))))</f>
        <v/>
      </c>
      <c r="K43" s="20" t="n"/>
      <c r="L43" s="19" t="n"/>
      <c r="M43" s="16">
        <f>IF(OR(B43="",K43="",L43=""),"",L43+K43)</f>
        <v/>
      </c>
      <c r="N43" s="15">
        <f>IF(B43="","",IF(M43="","Sin abonado",IF(M43&lt;=$D$4,"Toca abonar","Al día")))</f>
        <v/>
      </c>
      <c r="O43" s="20" t="n"/>
      <c r="P43" s="19" t="n"/>
      <c r="Q43" s="16">
        <f>IF(OR(B43="",O43="",P43=""),"",EDATE(P43,O43))</f>
        <v/>
      </c>
      <c r="R43" s="15">
        <f>IF(B43="","",IF(Q43="","Sin registrar",IF(Q43&lt;=$D$4,"Toca trasplantar",IF(Q43-$D$4&lt;=$L$4,"Próximamente","Al día"))))</f>
        <v/>
      </c>
      <c r="S43" s="23">
        <f>IF(OR(B43="",I43=""),"",RANK(I43,$I$7:$I$46,1)+COUNTIF($I$7:I43,I43)-1)</f>
        <v/>
      </c>
    </row>
    <row r="44">
      <c r="B44" s="21" t="n"/>
      <c r="C44" s="21" t="n"/>
      <c r="D44" s="22" t="n"/>
      <c r="E44" s="22" t="n"/>
      <c r="F44" s="20" t="n"/>
      <c r="G44" s="19" t="n"/>
      <c r="H44" s="16">
        <f>IF(OR(B44="",G44="",F44=""),"",G44+F44)</f>
        <v/>
      </c>
      <c r="I44" s="17">
        <f>IF(H44="","",H44-$D$4)</f>
        <v/>
      </c>
      <c r="J44" s="15">
        <f>IF(B44="","",IF(H44="","Sin registrar",IF(I44&lt;0,"Atrasada",IF(I44=0,"Hoy",IF(I44&lt;=$G$4,"Próximos días","Al día")))))</f>
        <v/>
      </c>
      <c r="K44" s="20" t="n"/>
      <c r="L44" s="19" t="n"/>
      <c r="M44" s="16">
        <f>IF(OR(B44="",K44="",L44=""),"",L44+K44)</f>
        <v/>
      </c>
      <c r="N44" s="15">
        <f>IF(B44="","",IF(M44="","Sin abonado",IF(M44&lt;=$D$4,"Toca abonar","Al día")))</f>
        <v/>
      </c>
      <c r="O44" s="20" t="n"/>
      <c r="P44" s="19" t="n"/>
      <c r="Q44" s="16">
        <f>IF(OR(B44="",O44="",P44=""),"",EDATE(P44,O44))</f>
        <v/>
      </c>
      <c r="R44" s="15">
        <f>IF(B44="","",IF(Q44="","Sin registrar",IF(Q44&lt;=$D$4,"Toca trasplantar",IF(Q44-$D$4&lt;=$L$4,"Próximamente","Al día"))))</f>
        <v/>
      </c>
      <c r="S44" s="23">
        <f>IF(OR(B44="",I44=""),"",RANK(I44,$I$7:$I$46,1)+COUNTIF($I$7:I44,I44)-1)</f>
        <v/>
      </c>
    </row>
    <row r="45">
      <c r="B45" s="21" t="n"/>
      <c r="C45" s="21" t="n"/>
      <c r="D45" s="22" t="n"/>
      <c r="E45" s="22" t="n"/>
      <c r="F45" s="20" t="n"/>
      <c r="G45" s="19" t="n"/>
      <c r="H45" s="16">
        <f>IF(OR(B45="",G45="",F45=""),"",G45+F45)</f>
        <v/>
      </c>
      <c r="I45" s="17">
        <f>IF(H45="","",H45-$D$4)</f>
        <v/>
      </c>
      <c r="J45" s="15">
        <f>IF(B45="","",IF(H45="","Sin registrar",IF(I45&lt;0,"Atrasada",IF(I45=0,"Hoy",IF(I45&lt;=$G$4,"Próximos días","Al día")))))</f>
        <v/>
      </c>
      <c r="K45" s="20" t="n"/>
      <c r="L45" s="19" t="n"/>
      <c r="M45" s="16">
        <f>IF(OR(B45="",K45="",L45=""),"",L45+K45)</f>
        <v/>
      </c>
      <c r="N45" s="15">
        <f>IF(B45="","",IF(M45="","Sin abonado",IF(M45&lt;=$D$4,"Toca abonar","Al día")))</f>
        <v/>
      </c>
      <c r="O45" s="20" t="n"/>
      <c r="P45" s="19" t="n"/>
      <c r="Q45" s="16">
        <f>IF(OR(B45="",O45="",P45=""),"",EDATE(P45,O45))</f>
        <v/>
      </c>
      <c r="R45" s="15">
        <f>IF(B45="","",IF(Q45="","Sin registrar",IF(Q45&lt;=$D$4,"Toca trasplantar",IF(Q45-$D$4&lt;=$L$4,"Próximamente","Al día"))))</f>
        <v/>
      </c>
      <c r="S45" s="23">
        <f>IF(OR(B45="",I45=""),"",RANK(I45,$I$7:$I$46,1)+COUNTIF($I$7:I45,I45)-1)</f>
        <v/>
      </c>
    </row>
    <row r="46">
      <c r="B46" s="21" t="n"/>
      <c r="C46" s="21" t="n"/>
      <c r="D46" s="22" t="n"/>
      <c r="E46" s="22" t="n"/>
      <c r="F46" s="20" t="n"/>
      <c r="G46" s="19" t="n"/>
      <c r="H46" s="16">
        <f>IF(OR(B46="",G46="",F46=""),"",G46+F46)</f>
        <v/>
      </c>
      <c r="I46" s="17">
        <f>IF(H46="","",H46-$D$4)</f>
        <v/>
      </c>
      <c r="J46" s="15">
        <f>IF(B46="","",IF(H46="","Sin registrar",IF(I46&lt;0,"Atrasada",IF(I46=0,"Hoy",IF(I46&lt;=$G$4,"Próximos días","Al día")))))</f>
        <v/>
      </c>
      <c r="K46" s="20" t="n"/>
      <c r="L46" s="19" t="n"/>
      <c r="M46" s="16">
        <f>IF(OR(B46="",K46="",L46=""),"",L46+K46)</f>
        <v/>
      </c>
      <c r="N46" s="15">
        <f>IF(B46="","",IF(M46="","Sin abonado",IF(M46&lt;=$D$4,"Toca abonar","Al día")))</f>
        <v/>
      </c>
      <c r="O46" s="20" t="n"/>
      <c r="P46" s="19" t="n"/>
      <c r="Q46" s="16">
        <f>IF(OR(B46="",O46="",P46=""),"",EDATE(P46,O46))</f>
        <v/>
      </c>
      <c r="R46" s="15">
        <f>IF(B46="","",IF(Q46="","Sin registrar",IF(Q46&lt;=$D$4,"Toca trasplantar",IF(Q46-$D$4&lt;=$L$4,"Próximamente","Al día"))))</f>
        <v/>
      </c>
      <c r="S46" s="23">
        <f>IF(OR(B46="",I46=""),"",RANK(I46,$I$7:$I$46,1)+COUNTIF($I$7:I46,I46)-1)</f>
        <v/>
      </c>
    </row>
    <row r="48">
      <c r="B48" s="24" t="inlineStr">
        <is>
          <t>Las fechas de ejemplo son fórmulas relativas a hoy para que el ejemplo siempre muestre estados variados; sustitúyelas por tus fechas reales. La columna Aux. (S) es una ayuda de cálculo: no la modifiques.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5">
    <mergeCell ref="E4:F4"/>
    <mergeCell ref="B3:S3"/>
    <mergeCell ref="B2:S2"/>
    <mergeCell ref="I4:K4"/>
    <mergeCell ref="B4:C4"/>
  </mergeCells>
  <conditionalFormatting sqref="J7:J46">
    <cfRule type="cellIs" priority="1" operator="equal" dxfId="0">
      <formula>"Atrasada"</formula>
    </cfRule>
    <cfRule type="cellIs" priority="2" operator="equal" dxfId="1">
      <formula>"Hoy"</formula>
    </cfRule>
    <cfRule type="cellIs" priority="3" operator="equal" dxfId="2">
      <formula>"Próximos días"</formula>
    </cfRule>
    <cfRule type="cellIs" priority="4" operator="equal" dxfId="3">
      <formula>"Al día"</formula>
    </cfRule>
  </conditionalFormatting>
  <conditionalFormatting sqref="N7:N46">
    <cfRule type="cellIs" priority="5" operator="equal" dxfId="1">
      <formula>"Toca abonar"</formula>
    </cfRule>
    <cfRule type="cellIs" priority="6" operator="equal" dxfId="3">
      <formula>"Al día"</formula>
    </cfRule>
  </conditionalFormatting>
  <conditionalFormatting sqref="R7:R46">
    <cfRule type="cellIs" priority="7" operator="equal" dxfId="0">
      <formula>"Toca trasplantar"</formula>
    </cfRule>
    <cfRule type="cellIs" priority="8" operator="equal" dxfId="1">
      <formula>"Próximamente"</formula>
    </cfRule>
    <cfRule type="cellIs" priority="9" operator="equal" dxfId="3">
      <formula>"Al día"</formula>
    </cfRule>
  </conditionalFormatting>
  <dataValidations count="2">
    <dataValidation sqref="D7:D46" showDropDown="0" showInputMessage="0" showErrorMessage="0" allowBlank="1" type="list">
      <formula1>=Listas!$A$2:$A$9</formula1>
    </dataValidation>
    <dataValidation sqref="E7:E46" showDropDown="0" showInputMessage="0" showErrorMessage="0" allowBlank="1" type="list">
      <formula1>=Listas!$B$2:$B$5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B2:E23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" customWidth="1" min="1" max="1"/>
    <col width="14" customWidth="1" min="2" max="2"/>
    <col width="14" customWidth="1" min="3" max="3"/>
    <col width="18" customWidth="1" min="4" max="4"/>
    <col width="18" customWidth="1" min="5" max="5"/>
    <col width="3" customWidth="1" min="6" max="6"/>
  </cols>
  <sheetData>
    <row r="2" ht="34" customHeight="1">
      <c r="B2" s="1" t="inlineStr">
        <is>
          <t>Agenda de los próximos 14 días</t>
        </is>
      </c>
      <c r="C2" s="2" t="n"/>
      <c r="D2" s="2" t="n"/>
      <c r="E2" s="2" t="n"/>
    </row>
    <row r="3">
      <c r="B3" s="3" t="inlineStr">
        <is>
          <t>Cuántas plantas toca regar o abonar cada día. El primer día incluye las que ya van atrasadas.</t>
        </is>
      </c>
    </row>
    <row r="6" ht="34" customHeight="1">
      <c r="B6" s="9" t="inlineStr">
        <is>
          <t>Fecha</t>
        </is>
      </c>
      <c r="C6" s="9" t="inlineStr">
        <is>
          <t>Día</t>
        </is>
      </c>
      <c r="D6" s="9" t="inlineStr">
        <is>
          <t>Riegos programados</t>
        </is>
      </c>
      <c r="E6" s="9" t="inlineStr">
        <is>
          <t>Abonados programados</t>
        </is>
      </c>
    </row>
    <row r="7">
      <c r="B7" s="16">
        <f>Plantas!$D$4+0</f>
        <v/>
      </c>
      <c r="C7" s="15">
        <f>CHOOSE(WEEKDAY(B7,2),"Lunes","Martes","Miércoles","Jueves","Viernes","Sábado","Domingo")</f>
        <v/>
      </c>
      <c r="D7" s="11">
        <f>COUNTIF(Plantas!$H$7:$H$46,"&lt;="&amp;B7)</f>
        <v/>
      </c>
      <c r="E7" s="11">
        <f>COUNTIF(Plantas!$M$7:$M$46,"&lt;="&amp;B7)</f>
        <v/>
      </c>
    </row>
    <row r="8">
      <c r="B8" s="16">
        <f>Plantas!$D$4+1</f>
        <v/>
      </c>
      <c r="C8" s="15">
        <f>CHOOSE(WEEKDAY(B8,2),"Lunes","Martes","Miércoles","Jueves","Viernes","Sábado","Domingo")</f>
        <v/>
      </c>
      <c r="D8" s="11">
        <f>COUNTIF(Plantas!$H$7:$H$46,B8)</f>
        <v/>
      </c>
      <c r="E8" s="11">
        <f>COUNTIF(Plantas!$M$7:$M$46,B8)</f>
        <v/>
      </c>
    </row>
    <row r="9">
      <c r="B9" s="16">
        <f>Plantas!$D$4+2</f>
        <v/>
      </c>
      <c r="C9" s="15">
        <f>CHOOSE(WEEKDAY(B9,2),"Lunes","Martes","Miércoles","Jueves","Viernes","Sábado","Domingo")</f>
        <v/>
      </c>
      <c r="D9" s="11">
        <f>COUNTIF(Plantas!$H$7:$H$46,B9)</f>
        <v/>
      </c>
      <c r="E9" s="11">
        <f>COUNTIF(Plantas!$M$7:$M$46,B9)</f>
        <v/>
      </c>
    </row>
    <row r="10">
      <c r="B10" s="16">
        <f>Plantas!$D$4+3</f>
        <v/>
      </c>
      <c r="C10" s="15">
        <f>CHOOSE(WEEKDAY(B10,2),"Lunes","Martes","Miércoles","Jueves","Viernes","Sábado","Domingo")</f>
        <v/>
      </c>
      <c r="D10" s="11">
        <f>COUNTIF(Plantas!$H$7:$H$46,B10)</f>
        <v/>
      </c>
      <c r="E10" s="11">
        <f>COUNTIF(Plantas!$M$7:$M$46,B10)</f>
        <v/>
      </c>
    </row>
    <row r="11">
      <c r="B11" s="16">
        <f>Plantas!$D$4+4</f>
        <v/>
      </c>
      <c r="C11" s="15">
        <f>CHOOSE(WEEKDAY(B11,2),"Lunes","Martes","Miércoles","Jueves","Viernes","Sábado","Domingo")</f>
        <v/>
      </c>
      <c r="D11" s="11">
        <f>COUNTIF(Plantas!$H$7:$H$46,B11)</f>
        <v/>
      </c>
      <c r="E11" s="11">
        <f>COUNTIF(Plantas!$M$7:$M$46,B11)</f>
        <v/>
      </c>
    </row>
    <row r="12">
      <c r="B12" s="16">
        <f>Plantas!$D$4+5</f>
        <v/>
      </c>
      <c r="C12" s="15">
        <f>CHOOSE(WEEKDAY(B12,2),"Lunes","Martes","Miércoles","Jueves","Viernes","Sábado","Domingo")</f>
        <v/>
      </c>
      <c r="D12" s="11">
        <f>COUNTIF(Plantas!$H$7:$H$46,B12)</f>
        <v/>
      </c>
      <c r="E12" s="11">
        <f>COUNTIF(Plantas!$M$7:$M$46,B12)</f>
        <v/>
      </c>
    </row>
    <row r="13">
      <c r="B13" s="16">
        <f>Plantas!$D$4+6</f>
        <v/>
      </c>
      <c r="C13" s="15">
        <f>CHOOSE(WEEKDAY(B13,2),"Lunes","Martes","Miércoles","Jueves","Viernes","Sábado","Domingo")</f>
        <v/>
      </c>
      <c r="D13" s="11">
        <f>COUNTIF(Plantas!$H$7:$H$46,B13)</f>
        <v/>
      </c>
      <c r="E13" s="11">
        <f>COUNTIF(Plantas!$M$7:$M$46,B13)</f>
        <v/>
      </c>
    </row>
    <row r="14">
      <c r="B14" s="16">
        <f>Plantas!$D$4+7</f>
        <v/>
      </c>
      <c r="C14" s="15">
        <f>CHOOSE(WEEKDAY(B14,2),"Lunes","Martes","Miércoles","Jueves","Viernes","Sábado","Domingo")</f>
        <v/>
      </c>
      <c r="D14" s="11">
        <f>COUNTIF(Plantas!$H$7:$H$46,B14)</f>
        <v/>
      </c>
      <c r="E14" s="11">
        <f>COUNTIF(Plantas!$M$7:$M$46,B14)</f>
        <v/>
      </c>
    </row>
    <row r="15">
      <c r="B15" s="16">
        <f>Plantas!$D$4+8</f>
        <v/>
      </c>
      <c r="C15" s="15">
        <f>CHOOSE(WEEKDAY(B15,2),"Lunes","Martes","Miércoles","Jueves","Viernes","Sábado","Domingo")</f>
        <v/>
      </c>
      <c r="D15" s="11">
        <f>COUNTIF(Plantas!$H$7:$H$46,B15)</f>
        <v/>
      </c>
      <c r="E15" s="11">
        <f>COUNTIF(Plantas!$M$7:$M$46,B15)</f>
        <v/>
      </c>
    </row>
    <row r="16">
      <c r="B16" s="16">
        <f>Plantas!$D$4+9</f>
        <v/>
      </c>
      <c r="C16" s="15">
        <f>CHOOSE(WEEKDAY(B16,2),"Lunes","Martes","Miércoles","Jueves","Viernes","Sábado","Domingo")</f>
        <v/>
      </c>
      <c r="D16" s="11">
        <f>COUNTIF(Plantas!$H$7:$H$46,B16)</f>
        <v/>
      </c>
      <c r="E16" s="11">
        <f>COUNTIF(Plantas!$M$7:$M$46,B16)</f>
        <v/>
      </c>
    </row>
    <row r="17">
      <c r="B17" s="16">
        <f>Plantas!$D$4+10</f>
        <v/>
      </c>
      <c r="C17" s="15">
        <f>CHOOSE(WEEKDAY(B17,2),"Lunes","Martes","Miércoles","Jueves","Viernes","Sábado","Domingo")</f>
        <v/>
      </c>
      <c r="D17" s="11">
        <f>COUNTIF(Plantas!$H$7:$H$46,B17)</f>
        <v/>
      </c>
      <c r="E17" s="11">
        <f>COUNTIF(Plantas!$M$7:$M$46,B17)</f>
        <v/>
      </c>
    </row>
    <row r="18">
      <c r="B18" s="16">
        <f>Plantas!$D$4+11</f>
        <v/>
      </c>
      <c r="C18" s="15">
        <f>CHOOSE(WEEKDAY(B18,2),"Lunes","Martes","Miércoles","Jueves","Viernes","Sábado","Domingo")</f>
        <v/>
      </c>
      <c r="D18" s="11">
        <f>COUNTIF(Plantas!$H$7:$H$46,B18)</f>
        <v/>
      </c>
      <c r="E18" s="11">
        <f>COUNTIF(Plantas!$M$7:$M$46,B18)</f>
        <v/>
      </c>
    </row>
    <row r="19">
      <c r="B19" s="16">
        <f>Plantas!$D$4+12</f>
        <v/>
      </c>
      <c r="C19" s="15">
        <f>CHOOSE(WEEKDAY(B19,2),"Lunes","Martes","Miércoles","Jueves","Viernes","Sábado","Domingo")</f>
        <v/>
      </c>
      <c r="D19" s="11">
        <f>COUNTIF(Plantas!$H$7:$H$46,B19)</f>
        <v/>
      </c>
      <c r="E19" s="11">
        <f>COUNTIF(Plantas!$M$7:$M$46,B19)</f>
        <v/>
      </c>
    </row>
    <row r="20">
      <c r="B20" s="16">
        <f>Plantas!$D$4+13</f>
        <v/>
      </c>
      <c r="C20" s="15">
        <f>CHOOSE(WEEKDAY(B20,2),"Lunes","Martes","Miércoles","Jueves","Viernes","Sábado","Domingo")</f>
        <v/>
      </c>
      <c r="D20" s="11">
        <f>COUNTIF(Plantas!$H$7:$H$46,B20)</f>
        <v/>
      </c>
      <c r="E20" s="11">
        <f>COUNTIF(Plantas!$M$7:$M$46,B20)</f>
        <v/>
      </c>
    </row>
    <row r="21">
      <c r="B21" s="12" t="inlineStr">
        <is>
          <t>Total 14 días</t>
        </is>
      </c>
      <c r="C21" s="25" t="inlineStr"/>
      <c r="D21" s="13">
        <f>SUM(D7:D20)</f>
        <v/>
      </c>
      <c r="E21" s="13">
        <f>SUM(E7:E20)</f>
        <v/>
      </c>
    </row>
    <row r="23">
      <c r="B23" s="24" t="inlineStr">
        <is>
          <t>Los riegos y abonados se cuentan a partir de las fechas calculadas en la hoja Plantas; al regar y actualizar la fecha de una planta, la agenda se reorganiza sola.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E3"/>
    <mergeCell ref="B2:E2"/>
  </mergeCells>
  <conditionalFormatting sqref="D7:D20">
    <cfRule type="dataBar" priority="1">
      <dataBar>
        <cfvo type="num" val="0"/>
        <cfvo type="max"/>
        <color rgb="0010B981"/>
      </dataBar>
    </cfRule>
  </conditionalFormatting>
  <conditionalFormatting sqref="E7:E20">
    <cfRule type="dataBar" priority="2">
      <dataBar>
        <cfvo type="num" val="0"/>
        <cfvo type="max"/>
        <color rgb="00F59E0B"/>
      </dataBar>
    </cfRule>
  </conditionalFormatting>
  <conditionalFormatting sqref="B7:C20">
    <cfRule type="expression" priority="3" dxfId="4">
      <formula>OR(WEEKDAY($B7,2)=6,WEEKDAY($B7,2)=7)</formula>
    </cfRule>
  </conditionalFormatting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el registro de plantas y riego</t>
        </is>
      </c>
    </row>
    <row r="3">
      <c r="B3" s="3" t="inlineStr">
        <is>
          <t>Plantilla gratuita de Plantillas de Cálculo · plantillasdecalculo.com</t>
        </is>
      </c>
    </row>
    <row r="5">
      <c r="B5" s="8" t="inlineStr">
        <is>
          <t>CÓMO USARLA</t>
        </is>
      </c>
    </row>
    <row r="6" ht="30" customHeight="1">
      <c r="B6" s="26" t="inlineStr">
        <is>
          <t>1.  Abre la hoja Plantas y mira la fecha de hoy (D4): usa =TODAY(), pero puedes escribir una fecha fija para hacer pruebas. En G4 indica con cuántos días de antelación quieres el aviso de riego y en L4 el aviso de trasplante.</t>
        </is>
      </c>
    </row>
    <row r="7" ht="30" customHeight="1">
      <c r="B7" s="26" t="inlineStr">
        <is>
          <t>2.  Borra las 12 plantas de ejemplo (celdas crema, columnas B a G, K, L, O y P) y escribe las tuyas: nombre, especie, ubicación y tipo de luz (con desplegable).</t>
        </is>
      </c>
    </row>
    <row r="8" ht="30" customHeight="1">
      <c r="B8" s="26" t="inlineStr">
        <is>
          <t>3.  Rellena la frecuencia de riego en días (columna F) y la fecha del último riego (G). El próximo riego, los días que faltan y el estado (Atrasada, Hoy, Próximos días, Al día) se calculan solos.</t>
        </is>
      </c>
    </row>
    <row r="9" ht="30" customHeight="1">
      <c r="B9" s="26" t="inlineStr">
        <is>
          <t>4.  Si abonas, indica cada cuántos días (K) y la fecha del último abonado (L). Si una planta no se abona, deja ambas celdas vacías y el estado dirá "Sin abonado".</t>
        </is>
      </c>
    </row>
    <row r="10" ht="30" customHeight="1">
      <c r="B10" s="26" t="inlineStr">
        <is>
          <t>5.  Para el trasplante, escribe cada cuántos meses cambias de maceta (O) y la fecha del último trasplante (P). La plantilla avisa de "Toca trasplantar" o "Próximamente".</t>
        </is>
      </c>
    </row>
    <row r="11" ht="30" customHeight="1">
      <c r="B11" s="26" t="inlineStr">
        <is>
          <t>6.  Cada vez que riegues, actualiza solo la columna Último riego con la fecha del día: la cuenta atrás se reinicia sola. Lo mismo con abonado y trasplante.</t>
        </is>
      </c>
    </row>
    <row r="12" ht="30" customHeight="1">
      <c r="B12" s="26" t="inlineStr">
        <is>
          <t>7.  Consulta el Panel para ver los KPIs, las plantas por ubicación y luz, el gráfico y la lista de los 8 riegos más urgentes.</t>
        </is>
      </c>
    </row>
    <row r="13" ht="30" customHeight="1">
      <c r="B13" s="26" t="inlineStr">
        <is>
          <t>8.  La hoja Agenda 14 días muestra cuántos riegos y abonados tienes cada día, con gráfico, para organizarte. Tienes filas preparadas hasta la 46 (40 plantas).</t>
        </is>
      </c>
    </row>
    <row r="15">
      <c r="B15" s="8" t="inlineStr">
        <is>
          <t>CONSEJOS</t>
        </is>
      </c>
    </row>
    <row r="16" ht="30" customHeight="1">
      <c r="B16" s="26" t="inlineStr">
        <is>
          <t>•  La frecuencia de riego es orientativa: ajústala según la estación, el tamaño de la maceta, el sustrato y la temperatura de tu casa. Mete el dedo en la tierra antes de regar.</t>
        </is>
      </c>
    </row>
    <row r="17" ht="30" customHeight="1">
      <c r="B17" s="26" t="inlineStr">
        <is>
          <t>•  Las fechas de los ejemplos son fórmulas relativas a hoy (=$D$4-5, etc.) para que siempre se vean estados distintos; sustitúyelas por fechas reales (dd/mm/aaaa).</t>
        </is>
      </c>
    </row>
    <row r="18" ht="30" customHeight="1">
      <c r="B18" s="26" t="inlineStr">
        <is>
          <t>•  Para cambiar ubicaciones o tipos de luz, muestra la hoja oculta Listas (clic derecho sobre las pestañas &gt; Mostrar) y edita los nombres; el Panel los recoge solos.</t>
        </is>
      </c>
    </row>
    <row r="19" ht="30" customHeight="1">
      <c r="B19" s="26" t="inlineStr">
        <is>
          <t>•  Si necesitas más de 40 plantas, copia la última fila de Plantas hacia abajo y amplía los rangos que llegan hasta la fila 46.</t>
        </is>
      </c>
    </row>
    <row r="20" ht="30" customHeight="1">
      <c r="B20" s="26" t="inlineStr">
        <is>
          <t>•  Las hojas están protegidas sin contraseña (Revisar &gt; Desproteger hoja) para evitar borrar fórmulas por accidente.</t>
        </is>
      </c>
    </row>
    <row r="22">
      <c r="B22" s="24" t="inlineStr">
        <is>
          <t>Las celdas con fondo crema y texto azul son para rellenar; las verdes se calculan solas.</t>
        </is>
      </c>
    </row>
    <row r="24" ht="44" customHeight="1">
      <c r="B24" s="27" t="inlineStr">
        <is>
          <t>Aviso: las frecuencias y cifras de ejemplo son ficticias y orientativas. Cada especie tiene necesidades distintas; consulta la etiqueta de tu planta o a un vivero. Esta plantilla organiza tus recordatorios, no sustituye el criterio de un jardinero profesional ni garantiza la salud de tus plantas. Si tienes mascotas o niños, comprueba que tus plantas no son tóxicas.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Ubicación</t>
        </is>
      </c>
      <c r="B1" t="inlineStr">
        <is>
          <t>Luz</t>
        </is>
      </c>
    </row>
    <row r="2">
      <c r="A2" t="inlineStr">
        <is>
          <t>Salón</t>
        </is>
      </c>
      <c r="B2" t="inlineStr">
        <is>
          <t>Sol directo</t>
        </is>
      </c>
    </row>
    <row r="3">
      <c r="A3" t="inlineStr">
        <is>
          <t>Dormitorio</t>
        </is>
      </c>
      <c r="B3" t="inlineStr">
        <is>
          <t>Luz brillante</t>
        </is>
      </c>
    </row>
    <row r="4">
      <c r="A4" t="inlineStr">
        <is>
          <t>Cocina</t>
        </is>
      </c>
      <c r="B4" t="inlineStr">
        <is>
          <t>Semisombra</t>
        </is>
      </c>
    </row>
    <row r="5">
      <c r="A5" t="inlineStr">
        <is>
          <t>Baño</t>
        </is>
      </c>
      <c r="B5" t="inlineStr">
        <is>
          <t>Sombra</t>
        </is>
      </c>
    </row>
    <row r="6">
      <c r="A6" t="inlineStr">
        <is>
          <t>Terraza</t>
        </is>
      </c>
    </row>
    <row r="7">
      <c r="A7" t="inlineStr">
        <is>
          <t>Balcón</t>
        </is>
      </c>
    </row>
    <row r="8">
      <c r="A8" t="inlineStr">
        <is>
          <t>Despacho</t>
        </is>
      </c>
    </row>
    <row r="9">
      <c r="A9" t="inlineStr">
        <is>
          <t>Otra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2026-10-02T12:58:19Z</dcterms:created>
  <dcterms:modified xmlns:dcterms="http://purl.org/dc/terms/" xmlns:xsi="http://www.w3.org/2001/XMLSchema-instance" xsi:type="dcterms:W3CDTF">2026-10-02T12:58:19Z</dcterms:modified>
</cp:coreProperties>
</file>