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nel" sheetId="1" state="visible" r:id="rId1"/>
    <sheet xmlns:r="http://schemas.openxmlformats.org/officeDocument/2006/relationships" name="Tutorías" sheetId="2" state="visible" r:id="rId2"/>
    <sheet xmlns:r="http://schemas.openxmlformats.org/officeDocument/2006/relationships" name="Alumnos" sheetId="3" state="visible" r:id="rId3"/>
    <sheet xmlns:r="http://schemas.openxmlformats.org/officeDocument/2006/relationships" name="Instrucciones" sheetId="4" state="visible" r:id="rId4"/>
    <sheet xmlns:r="http://schemas.openxmlformats.org/officeDocument/2006/relationships" name="Listas" sheetId="5" state="hidden" r:id="rId5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yyyy-mm-dd"/>
    <numFmt numFmtId="166" formatCode="0.00000"/>
    <numFmt numFmtId="167" formatCode="0.0%"/>
  </numFmts>
  <fonts count="15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i val="1"/>
      <color rgb="006B7280"/>
      <sz val="10"/>
    </font>
    <font>
      <name val="Arial"/>
      <b val="1"/>
      <color rgb="00FFFFFF"/>
      <sz val="10"/>
    </font>
    <font>
      <name val="Arial"/>
      <color rgb="001D4ED8"/>
      <sz val="10"/>
    </font>
    <font>
      <name val="Arial"/>
      <color rgb="00047857"/>
      <sz val="10"/>
    </font>
    <font>
      <name val="Arial"/>
      <b val="1"/>
      <color rgb="00111827"/>
      <sz val="10"/>
    </font>
    <font>
      <name val="Arial"/>
      <b val="1"/>
      <color rgb="000B4A2F"/>
      <sz val="11"/>
    </font>
    <font>
      <name val="Arial"/>
      <color rgb="006B7280"/>
      <sz val="8"/>
    </font>
    <font>
      <name val="Arial"/>
      <b val="1"/>
      <color rgb="006B7280"/>
      <sz val="9"/>
    </font>
    <font>
      <name val="Arial"/>
      <b val="1"/>
      <color rgb="00047857"/>
      <sz val="16"/>
    </font>
    <font>
      <name val="Arial"/>
      <b val="1"/>
      <color rgb="0012744A"/>
      <sz val="11"/>
    </font>
    <font>
      <name val="Arial"/>
      <color rgb="00111827"/>
      <sz val="10"/>
    </font>
    <font>
      <name val="Arial"/>
      <b val="1"/>
      <color rgb="00047857"/>
      <sz val="10"/>
    </font>
    <font>
      <name val="Arial"/>
      <b val="1"/>
      <color rgb="0092400E"/>
      <sz val="10"/>
    </font>
  </fonts>
  <fills count="7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12744A"/>
      </patternFill>
    </fill>
    <fill>
      <patternFill patternType="solid">
        <fgColor rgb="00FFFDF2"/>
      </patternFill>
    </fill>
    <fill>
      <patternFill patternType="solid">
        <fgColor rgb="00D1FAE5"/>
      </patternFill>
    </fill>
    <fill>
      <patternFill patternType="solid">
        <fgColor rgb="00ECFDF5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vertical="center" indent="1"/>
    </xf>
    <xf numFmtId="0" fontId="9" fillId="6" borderId="0" applyAlignment="1" pivotButton="0" quotePrefix="0" xfId="0">
      <alignment horizontal="center" vertical="center" wrapText="1"/>
    </xf>
    <xf numFmtId="3" fontId="10" fillId="6" borderId="0" applyAlignment="1" pivotButton="0" quotePrefix="0" xfId="0">
      <alignment horizontal="center" vertical="center"/>
    </xf>
    <xf numFmtId="167" fontId="10" fillId="6" borderId="0" applyAlignment="1" pivotButton="0" quotePrefix="0" xfId="0">
      <alignment horizontal="center" vertical="center"/>
    </xf>
    <xf numFmtId="0" fontId="11" fillId="0" borderId="0" applyAlignment="1" pivotButton="0" quotePrefix="0" xfId="0">
      <alignment vertical="center"/>
    </xf>
    <xf numFmtId="0" fontId="12" fillId="0" borderId="0" applyAlignment="1" pivotButton="0" quotePrefix="0" xfId="0">
      <alignment vertical="center"/>
    </xf>
    <xf numFmtId="164" fontId="4" fillId="4" borderId="1" applyAlignment="1" applyProtection="1" pivotButton="0" quotePrefix="0" xfId="0">
      <alignment horizontal="center" vertical="center"/>
      <protection locked="0" hidden="0"/>
    </xf>
    <xf numFmtId="0" fontId="2" fillId="0" borderId="0" applyAlignment="1" pivotButton="0" quotePrefix="0" xfId="0">
      <alignment vertical="center"/>
    </xf>
    <xf numFmtId="164" fontId="13" fillId="0" borderId="1" applyAlignment="1" pivotButton="0" quotePrefix="0" xfId="0">
      <alignment horizontal="center" vertical="center"/>
    </xf>
    <xf numFmtId="1" fontId="4" fillId="4" borderId="1" applyAlignment="1" applyProtection="1" pivotButton="0" quotePrefix="0" xfId="0">
      <alignment horizontal="center" vertical="center"/>
      <protection locked="0" hidden="0"/>
    </xf>
    <xf numFmtId="0" fontId="3" fillId="3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vertical="center"/>
    </xf>
    <xf numFmtId="3" fontId="5" fillId="0" borderId="1" applyAlignment="1" pivotButton="0" quotePrefix="0" xfId="0">
      <alignment horizontal="center" vertical="center"/>
    </xf>
    <xf numFmtId="167" fontId="5" fillId="0" borderId="1" applyAlignment="1" pivotButton="0" quotePrefix="0" xfId="0">
      <alignment horizontal="center" vertical="center"/>
    </xf>
    <xf numFmtId="0" fontId="5" fillId="0" borderId="1" applyAlignment="1" pivotButton="0" quotePrefix="0" xfId="0">
      <alignment vertical="center"/>
    </xf>
    <xf numFmtId="0" fontId="6" fillId="0" borderId="0" applyAlignment="1" pivotButton="0" quotePrefix="0" xfId="0">
      <alignment vertical="center"/>
    </xf>
    <xf numFmtId="3" fontId="7" fillId="5" borderId="1" applyAlignment="1" pivotButton="0" quotePrefix="0" xfId="0">
      <alignment horizontal="center"/>
    </xf>
    <xf numFmtId="167" fontId="7" fillId="5" borderId="1" applyAlignment="1" pivotButton="0" quotePrefix="0" xfId="0">
      <alignment horizontal="center"/>
    </xf>
    <xf numFmtId="164" fontId="5" fillId="0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center" vertical="center"/>
    </xf>
    <xf numFmtId="1" fontId="5" fillId="0" borderId="1" applyAlignment="1" pivotButton="0" quotePrefix="0" xfId="0">
      <alignment horizontal="center" vertical="center"/>
    </xf>
    <xf numFmtId="1" fontId="8" fillId="0" borderId="1" applyAlignment="1" pivotButton="0" quotePrefix="0" xfId="0">
      <alignment horizontal="center" vertical="center"/>
    </xf>
    <xf numFmtId="0" fontId="4" fillId="4" borderId="1" applyAlignment="1" applyProtection="1" pivotButton="0" quotePrefix="0" xfId="0">
      <alignment vertical="center"/>
      <protection locked="0" hidden="0"/>
    </xf>
    <xf numFmtId="0" fontId="4" fillId="4" borderId="1" applyAlignment="1" applyProtection="1" pivotButton="0" quotePrefix="0" xfId="0">
      <alignment horizontal="center" vertical="center"/>
      <protection locked="0" hidden="0"/>
    </xf>
    <xf numFmtId="0" fontId="4" fillId="4" borderId="1" applyAlignment="1" applyProtection="1" pivotButton="0" quotePrefix="0" xfId="0">
      <alignment vertical="center" wrapText="1"/>
      <protection locked="0" hidden="0"/>
    </xf>
    <xf numFmtId="166" fontId="8" fillId="0" borderId="1" applyAlignment="1" pivotButton="0" quotePrefix="0" xfId="0">
      <alignment horizontal="center" vertical="center"/>
    </xf>
    <xf numFmtId="0" fontId="12" fillId="0" borderId="0" applyAlignment="1" pivotButton="0" quotePrefix="0" xfId="0">
      <alignment vertical="center" wrapText="1"/>
    </xf>
    <xf numFmtId="0" fontId="14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3">
    <dxf>
      <font>
        <b val="1"/>
        <color rgb="00B91C1C"/>
      </font>
      <fill>
        <patternFill patternType="solid">
          <fgColor rgb="00FEE2E2"/>
          <bgColor rgb="00FEE2E2"/>
        </patternFill>
      </fill>
    </dxf>
    <dxf>
      <font>
        <b val="1"/>
        <color rgb="0092400E"/>
      </font>
      <fill>
        <patternFill patternType="solid">
          <fgColor rgb="00FEF3C7"/>
          <bgColor rgb="00FEF3C7"/>
        </patternFill>
      </fill>
    </dxf>
    <dxf>
      <font>
        <b val="1"/>
        <color rgb="000B4A2F"/>
      </font>
      <fill>
        <patternFill patternType="solid">
          <fgColor rgb="00D1FAE5"/>
          <bgColor rgb="00D1FAE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Tutorías por trimestre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'Panel'!C17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'Panel'!$B$18:$B$20</f>
            </numRef>
          </cat>
          <val>
            <numRef>
              <f>'Panel'!$C$18:$C$20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Tutorías por motivo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'Panel'!G17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'Panel'!$F$18:$F$24</f>
            </numRef>
          </cat>
          <val>
            <numRef>
              <f>'Panel'!$G$18:$G$24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1</col>
      <colOff>0</colOff>
      <row>37</row>
      <rowOff>0</rowOff>
    </from>
    <ext cx="396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4</col>
      <colOff>0</colOff>
      <row>37</row>
      <rowOff>0</rowOff>
    </from>
    <ext cx="612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047857"/>
    <outlinePr summaryBelow="1" summaryRight="1"/>
    <pageSetUpPr fitToPage="1"/>
  </sheetPr>
  <dimension ref="B2:I3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6" customWidth="1" min="2" max="2"/>
    <col width="16" customWidth="1" min="3" max="3"/>
    <col width="16" customWidth="1" min="4" max="4"/>
    <col width="26" customWidth="1" min="5" max="5"/>
    <col width="26" customWidth="1" min="6" max="6"/>
    <col width="16" customWidth="1" min="7" max="7"/>
    <col width="18" customWidth="1" min="8" max="8"/>
    <col width="7" customWidth="1" min="9" max="9"/>
  </cols>
  <sheetData>
    <row r="2" ht="34" customHeight="1">
      <c r="B2" s="1" t="inlineStr">
        <is>
          <t>Panel de tutorías con familias</t>
        </is>
      </c>
      <c r="C2" s="2" t="n"/>
      <c r="D2" s="2" t="n"/>
      <c r="E2" s="2" t="n"/>
      <c r="F2" s="2" t="n"/>
      <c r="G2" s="2" t="n"/>
      <c r="H2" s="2" t="n"/>
    </row>
    <row r="3">
      <c r="B3" s="3" t="inlineStr">
        <is>
          <t>Curso escolar 2025-26 · Datos de ejemplo ficticios: sustitúyelos por los tuyos</t>
        </is>
      </c>
    </row>
    <row r="5" ht="32" customHeight="1">
      <c r="B5" s="4" t="inlineStr">
        <is>
          <t>TUTORÍAS REGISTRADAS</t>
        </is>
      </c>
      <c r="C5" s="4" t="inlineStr">
        <is>
          <t>ALUMNOS ATENDIDOS</t>
        </is>
      </c>
      <c r="D5" s="4" t="inlineStr">
        <is>
          <t>% DE ALUMNOS ATENDIDOS</t>
        </is>
      </c>
      <c r="E5" s="4" t="inlineStr">
        <is>
          <t>SEGUIMIENTOS ABIERTOS</t>
        </is>
      </c>
      <c r="F5" s="4" t="inlineStr">
        <is>
          <t>CITAS VENCIDAS</t>
        </is>
      </c>
      <c r="G5" s="4" t="inlineStr">
        <is>
          <t>CITAS PRÓXIMAS</t>
        </is>
      </c>
      <c r="H5" s="4" t="inlineStr">
        <is>
          <t>ALUMNOS SIN TUTORÍA RECIENTE</t>
        </is>
      </c>
    </row>
    <row r="6" ht="36" customHeight="1">
      <c r="B6" s="5">
        <f>COUNT('Tutorías'!$B$7:$B$46)</f>
        <v/>
      </c>
      <c r="C6" s="5">
        <f>COUNTIF(Alumnos!$D$7:$D$36,"&gt;0")</f>
        <v/>
      </c>
      <c r="D6" s="6">
        <f>IF(COUNTA(Alumnos!$B$7:$B$36)=0,0,C6/COUNTA(Alumnos!$B$7:$B$36))</f>
        <v/>
      </c>
      <c r="E6" s="5">
        <f>COUNTIF('Tutorías'!$J$7:$J$46,"Pendiente")+COUNTIF('Tutorías'!$J$7:$J$46,"En curso")</f>
        <v/>
      </c>
      <c r="F6" s="5">
        <f>COUNTIF('Tutorías'!$L$7:$L$46,"Vencida")</f>
        <v/>
      </c>
      <c r="G6" s="5">
        <f>COUNTIF('Tutorías'!$L$7:$L$46,"Próxima")</f>
        <v/>
      </c>
      <c r="H6" s="5">
        <f>COUNTIF(Alumnos!$J$7:$J$36,"Sin contacto reciente")+COUNTIF(Alumnos!$J$7:$J$36,"Sin tutorías")</f>
        <v/>
      </c>
    </row>
    <row r="8">
      <c r="B8" s="7" t="inlineStr">
        <is>
          <t>AJUSTES DEL CURSO</t>
        </is>
      </c>
    </row>
    <row r="9">
      <c r="B9" s="8" t="inlineStr">
        <is>
          <t>Fecha de referencia</t>
        </is>
      </c>
      <c r="C9" s="9" t="n">
        <v>46091</v>
      </c>
      <c r="D9" s="10" t="inlineStr">
        <is>
          <t>Borra esta fecha para usar la de hoy automáticamente.</t>
        </is>
      </c>
    </row>
    <row r="10">
      <c r="B10" s="8" t="inlineStr">
        <is>
          <t>Fecha que se usa</t>
        </is>
      </c>
      <c r="C10" s="11">
        <f>IF(C9="",TODAY(),C9)</f>
        <v/>
      </c>
    </row>
    <row r="11">
      <c r="B11" s="8" t="inlineStr">
        <is>
          <t>Inicio del 2.º trimestre</t>
        </is>
      </c>
      <c r="C11" s="9" t="n">
        <v>46030</v>
      </c>
      <c r="D11" s="10" t="inlineStr">
        <is>
          <t>Ajusta las fechas al calendario de tu comunidad o centro.</t>
        </is>
      </c>
    </row>
    <row r="12">
      <c r="B12" s="8" t="inlineStr">
        <is>
          <t>Inicio del 3.º trimestre</t>
        </is>
      </c>
      <c r="C12" s="9" t="n">
        <v>46119</v>
      </c>
    </row>
    <row r="13">
      <c r="B13" s="8" t="inlineStr">
        <is>
          <t>Días de aviso «próxima»</t>
        </is>
      </c>
      <c r="C13" s="12" t="n">
        <v>7</v>
      </c>
    </row>
    <row r="14">
      <c r="B14" s="8" t="inlineStr">
        <is>
          <t>Máx. días sin tutoría</t>
        </is>
      </c>
      <c r="C14" s="12" t="n">
        <v>60</v>
      </c>
      <c r="D14" s="10" t="inlineStr">
        <is>
          <t>Pasado este plazo el alumno aparece con aviso rojo.</t>
        </is>
      </c>
    </row>
    <row r="16">
      <c r="B16" s="7" t="inlineStr">
        <is>
          <t>TUTORÍAS POR TRIMESTRE</t>
        </is>
      </c>
      <c r="F16" s="7" t="inlineStr">
        <is>
          <t>TUTORÍAS POR MOTIVO</t>
        </is>
      </c>
    </row>
    <row r="17" ht="26" customHeight="1">
      <c r="B17" s="13" t="inlineStr">
        <is>
          <t>Trimestre</t>
        </is>
      </c>
      <c r="C17" s="13" t="inlineStr">
        <is>
          <t>Tutorías</t>
        </is>
      </c>
      <c r="D17" s="13" t="inlineStr">
        <is>
          <t>% del total</t>
        </is>
      </c>
      <c r="F17" s="13" t="inlineStr">
        <is>
          <t>Motivo</t>
        </is>
      </c>
      <c r="G17" s="13" t="inlineStr">
        <is>
          <t>Tutorías</t>
        </is>
      </c>
      <c r="H17" s="13" t="inlineStr">
        <is>
          <t>% del total</t>
        </is>
      </c>
    </row>
    <row r="18">
      <c r="B18" s="14" t="inlineStr">
        <is>
          <t>1.º</t>
        </is>
      </c>
      <c r="C18" s="15">
        <f>COUNTIF('Tutorías'!$E$7:$E$46,B18)</f>
        <v/>
      </c>
      <c r="D18" s="16">
        <f>IF($C$21=0,0,C18/$C$21)</f>
        <v/>
      </c>
      <c r="F18" s="17">
        <f>Listas!$B$2</f>
        <v/>
      </c>
      <c r="G18" s="15">
        <f>COUNTIF('Tutorías'!$H$7:$H$46,F18)</f>
        <v/>
      </c>
      <c r="H18" s="16">
        <f>IF(SUM($G$18:$G$24)=0,0,G18/SUM($G$18:$G$24))</f>
        <v/>
      </c>
    </row>
    <row r="19">
      <c r="B19" s="14" t="inlineStr">
        <is>
          <t>2.º</t>
        </is>
      </c>
      <c r="C19" s="15">
        <f>COUNTIF('Tutorías'!$E$7:$E$46,B19)</f>
        <v/>
      </c>
      <c r="D19" s="16">
        <f>IF($C$21=0,0,C19/$C$21)</f>
        <v/>
      </c>
      <c r="F19" s="17">
        <f>Listas!$B$3</f>
        <v/>
      </c>
      <c r="G19" s="15">
        <f>COUNTIF('Tutorías'!$H$7:$H$46,F19)</f>
        <v/>
      </c>
      <c r="H19" s="16">
        <f>IF(SUM($G$18:$G$24)=0,0,G19/SUM($G$18:$G$24))</f>
        <v/>
      </c>
    </row>
    <row r="20">
      <c r="B20" s="14" t="inlineStr">
        <is>
          <t>3.º</t>
        </is>
      </c>
      <c r="C20" s="15">
        <f>COUNTIF('Tutorías'!$E$7:$E$46,B20)</f>
        <v/>
      </c>
      <c r="D20" s="16">
        <f>IF($C$21=0,0,C20/$C$21)</f>
        <v/>
      </c>
      <c r="F20" s="17">
        <f>Listas!$B$4</f>
        <v/>
      </c>
      <c r="G20" s="15">
        <f>COUNTIF('Tutorías'!$H$7:$H$46,F20)</f>
        <v/>
      </c>
      <c r="H20" s="16">
        <f>IF(SUM($G$18:$G$24)=0,0,G20/SUM($G$18:$G$24))</f>
        <v/>
      </c>
    </row>
    <row r="21">
      <c r="B21" s="18" t="inlineStr">
        <is>
          <t>Total</t>
        </is>
      </c>
      <c r="C21" s="19">
        <f>SUM(C18:C20)</f>
        <v/>
      </c>
      <c r="D21" s="20">
        <f>SUM(D18:D20)</f>
        <v/>
      </c>
      <c r="F21" s="17">
        <f>Listas!$B$5</f>
        <v/>
      </c>
      <c r="G21" s="15">
        <f>COUNTIF('Tutorías'!$H$7:$H$46,F21)</f>
        <v/>
      </c>
      <c r="H21" s="16">
        <f>IF(SUM($G$18:$G$24)=0,0,G21/SUM($G$18:$G$24))</f>
        <v/>
      </c>
    </row>
    <row r="22">
      <c r="F22" s="17">
        <f>Listas!$B$6</f>
        <v/>
      </c>
      <c r="G22" s="15">
        <f>COUNTIF('Tutorías'!$H$7:$H$46,F22)</f>
        <v/>
      </c>
      <c r="H22" s="16">
        <f>IF(SUM($G$18:$G$24)=0,0,G22/SUM($G$18:$G$24))</f>
        <v/>
      </c>
    </row>
    <row r="23">
      <c r="F23" s="17">
        <f>Listas!$B$7</f>
        <v/>
      </c>
      <c r="G23" s="15">
        <f>COUNTIF('Tutorías'!$H$7:$H$46,F23)</f>
        <v/>
      </c>
      <c r="H23" s="16">
        <f>IF(SUM($G$18:$G$24)=0,0,G23/SUM($G$18:$G$24))</f>
        <v/>
      </c>
    </row>
    <row r="24">
      <c r="F24" s="17">
        <f>Listas!$B$8</f>
        <v/>
      </c>
      <c r="G24" s="15">
        <f>COUNTIF('Tutorías'!$H$7:$H$46,F24)</f>
        <v/>
      </c>
      <c r="H24" s="16">
        <f>IF(SUM($G$18:$G$24)=0,0,G24/SUM($G$18:$G$24))</f>
        <v/>
      </c>
    </row>
    <row r="26">
      <c r="B26" s="7" t="inlineStr">
        <is>
          <t>PRÓXIMAS CITAS Y SEGUIMIENTOS ABIERTOS (por fecha)</t>
        </is>
      </c>
    </row>
    <row r="27" ht="26" customHeight="1">
      <c r="B27" s="13" t="inlineStr">
        <is>
          <t>Alumno/a</t>
        </is>
      </c>
      <c r="C27" s="13" t="inlineStr">
        <is>
          <t>Próxima cita</t>
        </is>
      </c>
      <c r="D27" s="13" t="inlineStr">
        <is>
          <t>Grupo</t>
        </is>
      </c>
      <c r="E27" s="13" t="inlineStr">
        <is>
          <t>Motivo</t>
        </is>
      </c>
      <c r="F27" s="13" t="inlineStr">
        <is>
          <t>Estado</t>
        </is>
      </c>
      <c r="G27" s="13" t="inlineStr">
        <is>
          <t>Seguimiento</t>
        </is>
      </c>
      <c r="H27" s="13" t="inlineStr">
        <is>
          <t>Días hasta cita</t>
        </is>
      </c>
      <c r="I27" s="13" t="inlineStr">
        <is>
          <t>Fila</t>
        </is>
      </c>
    </row>
    <row r="28">
      <c r="B28" s="17">
        <f>IF($I28="","",INDEX('Tutorías'!$C$7:$C$46,$I28))</f>
        <v/>
      </c>
      <c r="C28" s="21">
        <f>IF($I28="","",INDEX('Tutorías'!$K$7:$K$46,$I28))</f>
        <v/>
      </c>
      <c r="D28" s="22">
        <f>IF($I28="","",INDEX('Tutorías'!$D$7:$D$46,$I28))</f>
        <v/>
      </c>
      <c r="E28" s="17">
        <f>IF($I28="","",INDEX('Tutorías'!$H$7:$H$46,$I28))</f>
        <v/>
      </c>
      <c r="F28" s="22">
        <f>IF($I28="","",INDEX('Tutorías'!$L$7:$L$46,$I28))</f>
        <v/>
      </c>
      <c r="G28" s="22">
        <f>IF($I28="","",INDEX('Tutorías'!$J$7:$J$46,$I28))</f>
        <v/>
      </c>
      <c r="H28" s="23">
        <f>IF($I28="","",INDEX('Tutorías'!$M$7:$M$46,$I28))</f>
        <v/>
      </c>
      <c r="I28" s="24">
        <f>IFERROR(MATCH(SMALL('Tutorías'!$O$7:$O$46,ROWS(I$28:I28)),'Tutorías'!$O$7:$O$46,0),"")</f>
        <v/>
      </c>
    </row>
    <row r="29">
      <c r="B29" s="17">
        <f>IF($I29="","",INDEX('Tutorías'!$C$7:$C$46,$I29))</f>
        <v/>
      </c>
      <c r="C29" s="21">
        <f>IF($I29="","",INDEX('Tutorías'!$K$7:$K$46,$I29))</f>
        <v/>
      </c>
      <c r="D29" s="22">
        <f>IF($I29="","",INDEX('Tutorías'!$D$7:$D$46,$I29))</f>
        <v/>
      </c>
      <c r="E29" s="17">
        <f>IF($I29="","",INDEX('Tutorías'!$H$7:$H$46,$I29))</f>
        <v/>
      </c>
      <c r="F29" s="22">
        <f>IF($I29="","",INDEX('Tutorías'!$L$7:$L$46,$I29))</f>
        <v/>
      </c>
      <c r="G29" s="22">
        <f>IF($I29="","",INDEX('Tutorías'!$J$7:$J$46,$I29))</f>
        <v/>
      </c>
      <c r="H29" s="23">
        <f>IF($I29="","",INDEX('Tutorías'!$M$7:$M$46,$I29))</f>
        <v/>
      </c>
      <c r="I29" s="24">
        <f>IFERROR(MATCH(SMALL('Tutorías'!$O$7:$O$46,ROWS(I$28:I29)),'Tutorías'!$O$7:$O$46,0),"")</f>
        <v/>
      </c>
    </row>
    <row r="30">
      <c r="B30" s="17">
        <f>IF($I30="","",INDEX('Tutorías'!$C$7:$C$46,$I30))</f>
        <v/>
      </c>
      <c r="C30" s="21">
        <f>IF($I30="","",INDEX('Tutorías'!$K$7:$K$46,$I30))</f>
        <v/>
      </c>
      <c r="D30" s="22">
        <f>IF($I30="","",INDEX('Tutorías'!$D$7:$D$46,$I30))</f>
        <v/>
      </c>
      <c r="E30" s="17">
        <f>IF($I30="","",INDEX('Tutorías'!$H$7:$H$46,$I30))</f>
        <v/>
      </c>
      <c r="F30" s="22">
        <f>IF($I30="","",INDEX('Tutorías'!$L$7:$L$46,$I30))</f>
        <v/>
      </c>
      <c r="G30" s="22">
        <f>IF($I30="","",INDEX('Tutorías'!$J$7:$J$46,$I30))</f>
        <v/>
      </c>
      <c r="H30" s="23">
        <f>IF($I30="","",INDEX('Tutorías'!$M$7:$M$46,$I30))</f>
        <v/>
      </c>
      <c r="I30" s="24">
        <f>IFERROR(MATCH(SMALL('Tutorías'!$O$7:$O$46,ROWS(I$28:I30)),'Tutorías'!$O$7:$O$46,0),"")</f>
        <v/>
      </c>
    </row>
    <row r="31">
      <c r="B31" s="17">
        <f>IF($I31="","",INDEX('Tutorías'!$C$7:$C$46,$I31))</f>
        <v/>
      </c>
      <c r="C31" s="21">
        <f>IF($I31="","",INDEX('Tutorías'!$K$7:$K$46,$I31))</f>
        <v/>
      </c>
      <c r="D31" s="22">
        <f>IF($I31="","",INDEX('Tutorías'!$D$7:$D$46,$I31))</f>
        <v/>
      </c>
      <c r="E31" s="17">
        <f>IF($I31="","",INDEX('Tutorías'!$H$7:$H$46,$I31))</f>
        <v/>
      </c>
      <c r="F31" s="22">
        <f>IF($I31="","",INDEX('Tutorías'!$L$7:$L$46,$I31))</f>
        <v/>
      </c>
      <c r="G31" s="22">
        <f>IF($I31="","",INDEX('Tutorías'!$J$7:$J$46,$I31))</f>
        <v/>
      </c>
      <c r="H31" s="23">
        <f>IF($I31="","",INDEX('Tutorías'!$M$7:$M$46,$I31))</f>
        <v/>
      </c>
      <c r="I31" s="24">
        <f>IFERROR(MATCH(SMALL('Tutorías'!$O$7:$O$46,ROWS(I$28:I31)),'Tutorías'!$O$7:$O$46,0),"")</f>
        <v/>
      </c>
    </row>
    <row r="32">
      <c r="B32" s="17">
        <f>IF($I32="","",INDEX('Tutorías'!$C$7:$C$46,$I32))</f>
        <v/>
      </c>
      <c r="C32" s="21">
        <f>IF($I32="","",INDEX('Tutorías'!$K$7:$K$46,$I32))</f>
        <v/>
      </c>
      <c r="D32" s="22">
        <f>IF($I32="","",INDEX('Tutorías'!$D$7:$D$46,$I32))</f>
        <v/>
      </c>
      <c r="E32" s="17">
        <f>IF($I32="","",INDEX('Tutorías'!$H$7:$H$46,$I32))</f>
        <v/>
      </c>
      <c r="F32" s="22">
        <f>IF($I32="","",INDEX('Tutorías'!$L$7:$L$46,$I32))</f>
        <v/>
      </c>
      <c r="G32" s="22">
        <f>IF($I32="","",INDEX('Tutorías'!$J$7:$J$46,$I32))</f>
        <v/>
      </c>
      <c r="H32" s="23">
        <f>IF($I32="","",INDEX('Tutorías'!$M$7:$M$46,$I32))</f>
        <v/>
      </c>
      <c r="I32" s="24">
        <f>IFERROR(MATCH(SMALL('Tutorías'!$O$7:$O$46,ROWS(I$28:I32)),'Tutorías'!$O$7:$O$46,0),"")</f>
        <v/>
      </c>
    </row>
    <row r="33">
      <c r="B33" s="17">
        <f>IF($I33="","",INDEX('Tutorías'!$C$7:$C$46,$I33))</f>
        <v/>
      </c>
      <c r="C33" s="21">
        <f>IF($I33="","",INDEX('Tutorías'!$K$7:$K$46,$I33))</f>
        <v/>
      </c>
      <c r="D33" s="22">
        <f>IF($I33="","",INDEX('Tutorías'!$D$7:$D$46,$I33))</f>
        <v/>
      </c>
      <c r="E33" s="17">
        <f>IF($I33="","",INDEX('Tutorías'!$H$7:$H$46,$I33))</f>
        <v/>
      </c>
      <c r="F33" s="22">
        <f>IF($I33="","",INDEX('Tutorías'!$L$7:$L$46,$I33))</f>
        <v/>
      </c>
      <c r="G33" s="22">
        <f>IF($I33="","",INDEX('Tutorías'!$J$7:$J$46,$I33))</f>
        <v/>
      </c>
      <c r="H33" s="23">
        <f>IF($I33="","",INDEX('Tutorías'!$M$7:$M$46,$I33))</f>
        <v/>
      </c>
      <c r="I33" s="24">
        <f>IFERROR(MATCH(SMALL('Tutorías'!$O$7:$O$46,ROWS(I$28:I33)),'Tutorías'!$O$7:$O$46,0),"")</f>
        <v/>
      </c>
    </row>
    <row r="34">
      <c r="B34" s="17">
        <f>IF($I34="","",INDEX('Tutorías'!$C$7:$C$46,$I34))</f>
        <v/>
      </c>
      <c r="C34" s="21">
        <f>IF($I34="","",INDEX('Tutorías'!$K$7:$K$46,$I34))</f>
        <v/>
      </c>
      <c r="D34" s="22">
        <f>IF($I34="","",INDEX('Tutorías'!$D$7:$D$46,$I34))</f>
        <v/>
      </c>
      <c r="E34" s="17">
        <f>IF($I34="","",INDEX('Tutorías'!$H$7:$H$46,$I34))</f>
        <v/>
      </c>
      <c r="F34" s="22">
        <f>IF($I34="","",INDEX('Tutorías'!$L$7:$L$46,$I34))</f>
        <v/>
      </c>
      <c r="G34" s="22">
        <f>IF($I34="","",INDEX('Tutorías'!$J$7:$J$46,$I34))</f>
        <v/>
      </c>
      <c r="H34" s="23">
        <f>IF($I34="","",INDEX('Tutorías'!$M$7:$M$46,$I34))</f>
        <v/>
      </c>
      <c r="I34" s="24">
        <f>IFERROR(MATCH(SMALL('Tutorías'!$O$7:$O$46,ROWS(I$28:I34)),'Tutorías'!$O$7:$O$46,0),"")</f>
        <v/>
      </c>
    </row>
    <row r="35">
      <c r="B35" s="17">
        <f>IF($I35="","",INDEX('Tutorías'!$C$7:$C$46,$I35))</f>
        <v/>
      </c>
      <c r="C35" s="21">
        <f>IF($I35="","",INDEX('Tutorías'!$K$7:$K$46,$I35))</f>
        <v/>
      </c>
      <c r="D35" s="22">
        <f>IF($I35="","",INDEX('Tutorías'!$D$7:$D$46,$I35))</f>
        <v/>
      </c>
      <c r="E35" s="17">
        <f>IF($I35="","",INDEX('Tutorías'!$H$7:$H$46,$I35))</f>
        <v/>
      </c>
      <c r="F35" s="22">
        <f>IF($I35="","",INDEX('Tutorías'!$L$7:$L$46,$I35))</f>
        <v/>
      </c>
      <c r="G35" s="22">
        <f>IF($I35="","",INDEX('Tutorías'!$J$7:$J$46,$I35))</f>
        <v/>
      </c>
      <c r="H35" s="23">
        <f>IF($I35="","",INDEX('Tutorías'!$M$7:$M$46,$I35))</f>
        <v/>
      </c>
      <c r="I35" s="24">
        <f>IFERROR(MATCH(SMALL('Tutorías'!$O$7:$O$46,ROWS(I$28:I35)),'Tutorías'!$O$7:$O$46,0),"")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H3"/>
    <mergeCell ref="B2:H2"/>
  </mergeCells>
  <conditionalFormatting sqref="F6">
    <cfRule type="expression" priority="1" dxfId="0">
      <formula>F6&gt;0</formula>
    </cfRule>
  </conditionalFormatting>
  <conditionalFormatting sqref="G6">
    <cfRule type="expression" priority="2" dxfId="1">
      <formula>G6&gt;0</formula>
    </cfRule>
  </conditionalFormatting>
  <conditionalFormatting sqref="C18:C20">
    <cfRule type="dataBar" priority="3">
      <dataBar>
        <cfvo type="num" val="0"/>
        <cfvo type="max"/>
        <color rgb="0010B981"/>
      </dataBar>
    </cfRule>
  </conditionalFormatting>
  <conditionalFormatting sqref="G18:G24">
    <cfRule type="dataBar" priority="4">
      <dataBar>
        <cfvo type="num" val="0"/>
        <cfvo type="max"/>
        <color rgb="0010B981"/>
      </dataBar>
    </cfRule>
  </conditionalFormatting>
  <conditionalFormatting sqref="F28:F35">
    <cfRule type="cellIs" priority="5" operator="equal" dxfId="0">
      <formula>"Vencida"</formula>
    </cfRule>
    <cfRule type="cellIs" priority="6" operator="equal" dxfId="1">
      <formula>"Próxima"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2744A"/>
    <outlinePr summaryBelow="1" summaryRight="1"/>
    <pageSetUpPr fitToPage="1"/>
  </sheetPr>
  <dimension ref="B2:O48"/>
  <sheetViews>
    <sheetView showGridLines="0" workbookViewId="0">
      <pane xSplit="3" ySplit="6" topLeftCell="D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12" customWidth="1" min="2" max="2"/>
    <col width="28" customWidth="1" min="3" max="3"/>
    <col width="12" customWidth="1" min="4" max="4"/>
    <col width="8" customWidth="1" min="5" max="5"/>
    <col width="20" customWidth="1" min="6" max="6"/>
    <col width="13" customWidth="1" min="7" max="7"/>
    <col width="24" customWidth="1" min="8" max="8"/>
    <col width="48" customWidth="1" min="9" max="9"/>
    <col width="15" customWidth="1" min="10" max="10"/>
    <col width="13" customWidth="1" min="11" max="11"/>
    <col width="15" customWidth="1" min="12" max="12"/>
    <col width="10" customWidth="1" min="13" max="13"/>
    <col width="9" customWidth="1" min="14" max="14"/>
    <col width="11" customWidth="1" min="15" max="15"/>
  </cols>
  <sheetData>
    <row r="2" ht="34" customHeight="1">
      <c r="B2" s="1" t="inlineStr">
        <is>
          <t>Registro de tutorías con familias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</row>
    <row r="3">
      <c r="B3" s="3" t="inlineStr">
        <is>
          <t>Una fila por reunión o llamada. Rellena las celdas crema; trimestre, estado y avisos se calculan solos.</t>
        </is>
      </c>
    </row>
    <row r="6" ht="32" customHeight="1">
      <c r="B6" s="13" t="inlineStr">
        <is>
          <t>Fecha</t>
        </is>
      </c>
      <c r="C6" s="13" t="inlineStr">
        <is>
          <t>Alumno/a</t>
        </is>
      </c>
      <c r="D6" s="13" t="inlineStr">
        <is>
          <t>Grupo</t>
        </is>
      </c>
      <c r="E6" s="13" t="inlineStr">
        <is>
          <t>Trim.</t>
        </is>
      </c>
      <c r="F6" s="13" t="inlineStr">
        <is>
          <t>Asistentes</t>
        </is>
      </c>
      <c r="G6" s="13" t="inlineStr">
        <is>
          <t>Modalidad</t>
        </is>
      </c>
      <c r="H6" s="13" t="inlineStr">
        <is>
          <t>Motivo</t>
        </is>
      </c>
      <c r="I6" s="13" t="inlineStr">
        <is>
          <t>Acuerdos adoptados</t>
        </is>
      </c>
      <c r="J6" s="13" t="inlineStr">
        <is>
          <t>Seguimiento</t>
        </is>
      </c>
      <c r="K6" s="13" t="inlineStr">
        <is>
          <t>Próxima cita</t>
        </is>
      </c>
      <c r="L6" s="13" t="inlineStr">
        <is>
          <t>Estado de la cita</t>
        </is>
      </c>
      <c r="M6" s="13" t="inlineStr">
        <is>
          <t>Días hasta cita</t>
        </is>
      </c>
      <c r="N6" s="13" t="inlineStr">
        <is>
          <t>Tutoría nº</t>
        </is>
      </c>
      <c r="O6" s="13" t="inlineStr">
        <is>
          <t>Orden aux.</t>
        </is>
      </c>
    </row>
    <row r="7" ht="30" customHeight="1">
      <c r="B7" s="9" t="n">
        <v>45924</v>
      </c>
      <c r="C7" s="25" t="inlineStr">
        <is>
          <t>Pablo Ortega Ruiz</t>
        </is>
      </c>
      <c r="D7" s="22">
        <f>IF(C7="","",IFERROR(VLOOKUP(C7,Alumnos!$B$7:$C$36,2,FALSE),""))</f>
        <v/>
      </c>
      <c r="E7" s="22">
        <f>IF(B7="","",IF(B7&gt;=Panel!$C$12,"3.º",IF(B7&gt;=Panel!$C$11,"2.º","1.º")))</f>
        <v/>
      </c>
      <c r="F7" s="25" t="inlineStr">
        <is>
          <t>Madre</t>
        </is>
      </c>
      <c r="G7" s="26" t="inlineStr">
        <is>
          <t>Presencial</t>
        </is>
      </c>
      <c r="H7" s="25" t="inlineStr">
        <is>
          <t>Asistencia y puntualidad</t>
        </is>
      </c>
      <c r="I7" s="27" t="inlineStr">
        <is>
          <t>Llegará antes de las 8:30; la familia avisará de cada falta por la agenda.</t>
        </is>
      </c>
      <c r="J7" s="26" t="inlineStr">
        <is>
          <t>Cerrado</t>
        </is>
      </c>
      <c r="K7" s="9" t="n"/>
      <c r="L7" s="22">
        <f>IF(B7="","",IF(J7="Cerrado","Cerrado",IF(OR(J7="",J7="Sin seguimiento"),"Sin seguimiento",IF(K7="","Sin fecha",IF(K7&lt;Panel!$C$10,"Vencida",IF(K7-Panel!$C$10&lt;=Panel!$C$13,"Próxima","Programada"))))))</f>
        <v/>
      </c>
      <c r="M7" s="23">
        <f>IF(OR(B7="",K7="",J7="Cerrado"),"",K7-Panel!$C$10)</f>
        <v/>
      </c>
      <c r="N7" s="23">
        <f>IF(C7="","",COUNTIF($C$7:C7,C7))</f>
        <v/>
      </c>
      <c r="O7" s="28">
        <f>IF(OR(B7="",K7="",AND(J7&lt;&gt;"Pendiente",J7&lt;&gt;"En curso")),"",K7+ROW()/100000)</f>
        <v/>
      </c>
    </row>
    <row r="8" ht="30" customHeight="1">
      <c r="B8" s="9" t="n">
        <v>45932</v>
      </c>
      <c r="C8" s="25" t="inlineStr">
        <is>
          <t>Carmen Soler Vidal</t>
        </is>
      </c>
      <c r="D8" s="22">
        <f>IF(C8="","",IFERROR(VLOOKUP(C8,Alumnos!$B$7:$C$36,2,FALSE),""))</f>
        <v/>
      </c>
      <c r="E8" s="22">
        <f>IF(B8="","",IF(B8&gt;=Panel!$C$12,"3.º",IF(B8&gt;=Panel!$C$11,"2.º","1.º")))</f>
        <v/>
      </c>
      <c r="F8" s="25" t="inlineStr">
        <is>
          <t>Padre</t>
        </is>
      </c>
      <c r="G8" s="26" t="inlineStr">
        <is>
          <t>Telefónica</t>
        </is>
      </c>
      <c r="H8" s="25" t="inlineStr">
        <is>
          <t>Informativa</t>
        </is>
      </c>
      <c r="I8" s="27" t="inlineStr">
        <is>
          <t>Se entrega el horario de tutoría y se acuerda el canal de contacto.</t>
        </is>
      </c>
      <c r="J8" s="26" t="inlineStr">
        <is>
          <t>Sin seguimiento</t>
        </is>
      </c>
      <c r="K8" s="9" t="n"/>
      <c r="L8" s="22">
        <f>IF(B8="","",IF(J8="Cerrado","Cerrado",IF(OR(J8="",J8="Sin seguimiento"),"Sin seguimiento",IF(K8="","Sin fecha",IF(K8&lt;Panel!$C$10,"Vencida",IF(K8-Panel!$C$10&lt;=Panel!$C$13,"Próxima","Programada"))))))</f>
        <v/>
      </c>
      <c r="M8" s="23">
        <f>IF(OR(B8="",K8="",J8="Cerrado"),"",K8-Panel!$C$10)</f>
        <v/>
      </c>
      <c r="N8" s="23">
        <f>IF(C8="","",COUNTIF($C$7:C8,C8))</f>
        <v/>
      </c>
      <c r="O8" s="28">
        <f>IF(OR(B8="",K8="",AND(J8&lt;&gt;"Pendiente",J8&lt;&gt;"En curso")),"",K8+ROW()/100000)</f>
        <v/>
      </c>
    </row>
    <row r="9" ht="30" customHeight="1">
      <c r="B9" s="9" t="n">
        <v>45945</v>
      </c>
      <c r="C9" s="25" t="inlineStr">
        <is>
          <t>Hugo Navarro Lara</t>
        </is>
      </c>
      <c r="D9" s="22">
        <f>IF(C9="","",IFERROR(VLOOKUP(C9,Alumnos!$B$7:$C$36,2,FALSE),""))</f>
        <v/>
      </c>
      <c r="E9" s="22">
        <f>IF(B9="","",IF(B9&gt;=Panel!$C$12,"3.º",IF(B9&gt;=Panel!$C$11,"2.º","1.º")))</f>
        <v/>
      </c>
      <c r="F9" s="25" t="inlineStr">
        <is>
          <t>Ambos progenitores</t>
        </is>
      </c>
      <c r="G9" s="26" t="inlineStr">
        <is>
          <t>Presencial</t>
        </is>
      </c>
      <c r="H9" s="25" t="inlineStr">
        <is>
          <t>Rendimiento académico</t>
        </is>
      </c>
      <c r="I9" s="27" t="inlineStr">
        <is>
          <t>Plan de repaso semanal de Matemáticas; revisar el cuaderno cada viernes.</t>
        </is>
      </c>
      <c r="J9" s="26" t="inlineStr">
        <is>
          <t>Cerrado</t>
        </is>
      </c>
      <c r="K9" s="9" t="n">
        <v>46001</v>
      </c>
      <c r="L9" s="22">
        <f>IF(B9="","",IF(J9="Cerrado","Cerrado",IF(OR(J9="",J9="Sin seguimiento"),"Sin seguimiento",IF(K9="","Sin fecha",IF(K9&lt;Panel!$C$10,"Vencida",IF(K9-Panel!$C$10&lt;=Panel!$C$13,"Próxima","Programada"))))))</f>
        <v/>
      </c>
      <c r="M9" s="23">
        <f>IF(OR(B9="",K9="",J9="Cerrado"),"",K9-Panel!$C$10)</f>
        <v/>
      </c>
      <c r="N9" s="23">
        <f>IF(C9="","",COUNTIF($C$7:C9,C9))</f>
        <v/>
      </c>
      <c r="O9" s="28">
        <f>IF(OR(B9="",K9="",AND(J9&lt;&gt;"Pendiente",J9&lt;&gt;"En curso")),"",K9+ROW()/100000)</f>
        <v/>
      </c>
    </row>
    <row r="10" ht="30" customHeight="1">
      <c r="B10" s="9" t="n">
        <v>45966</v>
      </c>
      <c r="C10" s="25" t="inlineStr">
        <is>
          <t>Marta Ibáñez Cruz</t>
        </is>
      </c>
      <c r="D10" s="22">
        <f>IF(C10="","",IFERROR(VLOOKUP(C10,Alumnos!$B$7:$C$36,2,FALSE),""))</f>
        <v/>
      </c>
      <c r="E10" s="22">
        <f>IF(B10="","",IF(B10&gt;=Panel!$C$12,"3.º",IF(B10&gt;=Panel!$C$11,"2.º","1.º")))</f>
        <v/>
      </c>
      <c r="F10" s="25" t="inlineStr">
        <is>
          <t>Madre</t>
        </is>
      </c>
      <c r="G10" s="26" t="inlineStr">
        <is>
          <t>Videollamada</t>
        </is>
      </c>
      <c r="H10" s="25" t="inlineStr">
        <is>
          <t>Convivencia</t>
        </is>
      </c>
      <c r="I10" s="27" t="inlineStr">
        <is>
          <t>Conflicto en el recreo; mediación entre alumnas y observación en el patio.</t>
        </is>
      </c>
      <c r="J10" s="26" t="inlineStr">
        <is>
          <t>Cerrado</t>
        </is>
      </c>
      <c r="K10" s="9" t="n">
        <v>45994</v>
      </c>
      <c r="L10" s="22">
        <f>IF(B10="","",IF(J10="Cerrado","Cerrado",IF(OR(J10="",J10="Sin seguimiento"),"Sin seguimiento",IF(K10="","Sin fecha",IF(K10&lt;Panel!$C$10,"Vencida",IF(K10-Panel!$C$10&lt;=Panel!$C$13,"Próxima","Programada"))))))</f>
        <v/>
      </c>
      <c r="M10" s="23">
        <f>IF(OR(B10="",K10="",J10="Cerrado"),"",K10-Panel!$C$10)</f>
        <v/>
      </c>
      <c r="N10" s="23">
        <f>IF(C10="","",COUNTIF($C$7:C10,C10))</f>
        <v/>
      </c>
      <c r="O10" s="28">
        <f>IF(OR(B10="",K10="",AND(J10&lt;&gt;"Pendiente",J10&lt;&gt;"En curso")),"",K10+ROW()/100000)</f>
        <v/>
      </c>
    </row>
    <row r="11" ht="30" customHeight="1">
      <c r="B11" s="9" t="n">
        <v>45981</v>
      </c>
      <c r="C11" s="25" t="inlineStr">
        <is>
          <t>Daniel Rubio Pardo</t>
        </is>
      </c>
      <c r="D11" s="22">
        <f>IF(C11="","",IFERROR(VLOOKUP(C11,Alumnos!$B$7:$C$36,2,FALSE),""))</f>
        <v/>
      </c>
      <c r="E11" s="22">
        <f>IF(B11="","",IF(B11&gt;=Panel!$C$12,"3.º",IF(B11&gt;=Panel!$C$11,"2.º","1.º")))</f>
        <v/>
      </c>
      <c r="F11" s="25" t="inlineStr">
        <is>
          <t>Padre</t>
        </is>
      </c>
      <c r="G11" s="26" t="inlineStr">
        <is>
          <t>Presencial</t>
        </is>
      </c>
      <c r="H11" s="25" t="inlineStr">
        <is>
          <t>Conducta</t>
        </is>
      </c>
      <c r="I11" s="27" t="inlineStr">
        <is>
          <t>Acuerdo de comportamiento firmado por la familia y el alumno.</t>
        </is>
      </c>
      <c r="J11" s="26" t="inlineStr">
        <is>
          <t>Cerrado</t>
        </is>
      </c>
      <c r="K11" s="9" t="n">
        <v>46085</v>
      </c>
      <c r="L11" s="22">
        <f>IF(B11="","",IF(J11="Cerrado","Cerrado",IF(OR(J11="",J11="Sin seguimiento"),"Sin seguimiento",IF(K11="","Sin fecha",IF(K11&lt;Panel!$C$10,"Vencida",IF(K11-Panel!$C$10&lt;=Panel!$C$13,"Próxima","Programada"))))))</f>
        <v/>
      </c>
      <c r="M11" s="23">
        <f>IF(OR(B11="",K11="",J11="Cerrado"),"",K11-Panel!$C$10)</f>
        <v/>
      </c>
      <c r="N11" s="23">
        <f>IF(C11="","",COUNTIF($C$7:C11,C11))</f>
        <v/>
      </c>
      <c r="O11" s="28">
        <f>IF(OR(B11="",K11="",AND(J11&lt;&gt;"Pendiente",J11&lt;&gt;"En curso")),"",K11+ROW()/100000)</f>
        <v/>
      </c>
    </row>
    <row r="12" ht="30" customHeight="1">
      <c r="B12" s="9" t="n">
        <v>46002</v>
      </c>
      <c r="C12" s="25" t="inlineStr">
        <is>
          <t>Hugo Navarro Lara</t>
        </is>
      </c>
      <c r="D12" s="22">
        <f>IF(C12="","",IFERROR(VLOOKUP(C12,Alumnos!$B$7:$C$36,2,FALSE),""))</f>
        <v/>
      </c>
      <c r="E12" s="22">
        <f>IF(B12="","",IF(B12&gt;=Panel!$C$12,"3.º",IF(B12&gt;=Panel!$C$11,"2.º","1.º")))</f>
        <v/>
      </c>
      <c r="F12" s="25" t="inlineStr">
        <is>
          <t>Ambos progenitores</t>
        </is>
      </c>
      <c r="G12" s="26" t="inlineStr">
        <is>
          <t>Presencial</t>
        </is>
      </c>
      <c r="H12" s="25" t="inlineStr">
        <is>
          <t>Rendimiento académico</t>
        </is>
      </c>
      <c r="I12" s="27" t="inlineStr">
        <is>
          <t>Mejora en Matemáticas; mantener el plan y revisar tras la 2.ª evaluación.</t>
        </is>
      </c>
      <c r="J12" s="26" t="inlineStr">
        <is>
          <t>Pendiente</t>
        </is>
      </c>
      <c r="K12" s="9" t="n">
        <v>46079</v>
      </c>
      <c r="L12" s="22">
        <f>IF(B12="","",IF(J12="Cerrado","Cerrado",IF(OR(J12="",J12="Sin seguimiento"),"Sin seguimiento",IF(K12="","Sin fecha",IF(K12&lt;Panel!$C$10,"Vencida",IF(K12-Panel!$C$10&lt;=Panel!$C$13,"Próxima","Programada"))))))</f>
        <v/>
      </c>
      <c r="M12" s="23">
        <f>IF(OR(B12="",K12="",J12="Cerrado"),"",K12-Panel!$C$10)</f>
        <v/>
      </c>
      <c r="N12" s="23">
        <f>IF(C12="","",COUNTIF($C$7:C12,C12))</f>
        <v/>
      </c>
      <c r="O12" s="28">
        <f>IF(OR(B12="",K12="",AND(J12&lt;&gt;"Pendiente",J12&lt;&gt;"En curso")),"",K12+ROW()/100000)</f>
        <v/>
      </c>
    </row>
    <row r="13" ht="30" customHeight="1">
      <c r="B13" s="9" t="n">
        <v>46007</v>
      </c>
      <c r="C13" s="25" t="inlineStr">
        <is>
          <t>Lucía Martín Gómez</t>
        </is>
      </c>
      <c r="D13" s="22">
        <f>IF(C13="","",IFERROR(VLOOKUP(C13,Alumnos!$B$7:$C$36,2,FALSE),""))</f>
        <v/>
      </c>
      <c r="E13" s="22">
        <f>IF(B13="","",IF(B13&gt;=Panel!$C$12,"3.º",IF(B13&gt;=Panel!$C$11,"2.º","1.º")))</f>
        <v/>
      </c>
      <c r="F13" s="25" t="inlineStr">
        <is>
          <t>Ambos progenitores</t>
        </is>
      </c>
      <c r="G13" s="26" t="inlineStr">
        <is>
          <t>Presencial</t>
        </is>
      </c>
      <c r="H13" s="25" t="inlineStr">
        <is>
          <t>Orientación académica</t>
        </is>
      </c>
      <c r="I13" s="27" t="inlineStr">
        <is>
          <t>Elección de optativas de 3.º; la familia consultará con Orientación.</t>
        </is>
      </c>
      <c r="J13" s="26" t="inlineStr">
        <is>
          <t>Pendiente</t>
        </is>
      </c>
      <c r="K13" s="9" t="n">
        <v>46105</v>
      </c>
      <c r="L13" s="22">
        <f>IF(B13="","",IF(J13="Cerrado","Cerrado",IF(OR(J13="",J13="Sin seguimiento"),"Sin seguimiento",IF(K13="","Sin fecha",IF(K13&lt;Panel!$C$10,"Vencida",IF(K13-Panel!$C$10&lt;=Panel!$C$13,"Próxima","Programada"))))))</f>
        <v/>
      </c>
      <c r="M13" s="23">
        <f>IF(OR(B13="",K13="",J13="Cerrado"),"",K13-Panel!$C$10)</f>
        <v/>
      </c>
      <c r="N13" s="23">
        <f>IF(C13="","",COUNTIF($C$7:C13,C13))</f>
        <v/>
      </c>
      <c r="O13" s="28">
        <f>IF(OR(B13="",K13="",AND(J13&lt;&gt;"Pendiente",J13&lt;&gt;"En curso")),"",K13+ROW()/100000)</f>
        <v/>
      </c>
    </row>
    <row r="14" ht="30" customHeight="1">
      <c r="B14" s="9" t="n">
        <v>46036</v>
      </c>
      <c r="C14" s="25" t="inlineStr">
        <is>
          <t>Sofía Campos Gil</t>
        </is>
      </c>
      <c r="D14" s="22">
        <f>IF(C14="","",IFERROR(VLOOKUP(C14,Alumnos!$B$7:$C$36,2,FALSE),""))</f>
        <v/>
      </c>
      <c r="E14" s="22">
        <f>IF(B14="","",IF(B14&gt;=Panel!$C$12,"3.º",IF(B14&gt;=Panel!$C$11,"2.º","1.º")))</f>
        <v/>
      </c>
      <c r="F14" s="25" t="inlineStr">
        <is>
          <t>Madre</t>
        </is>
      </c>
      <c r="G14" s="26" t="inlineStr">
        <is>
          <t>Presencial</t>
        </is>
      </c>
      <c r="H14" s="25" t="inlineStr">
        <is>
          <t>Adaptación y NEE</t>
        </is>
      </c>
      <c r="I14" s="27" t="inlineStr">
        <is>
          <t>Revisión de medidas de apoyo con Orientación; más tiempo en exámenes.</t>
        </is>
      </c>
      <c r="J14" s="26" t="inlineStr">
        <is>
          <t>En curso</t>
        </is>
      </c>
      <c r="K14" s="9" t="n">
        <v>46093</v>
      </c>
      <c r="L14" s="22">
        <f>IF(B14="","",IF(J14="Cerrado","Cerrado",IF(OR(J14="",J14="Sin seguimiento"),"Sin seguimiento",IF(K14="","Sin fecha",IF(K14&lt;Panel!$C$10,"Vencida",IF(K14-Panel!$C$10&lt;=Panel!$C$13,"Próxima","Programada"))))))</f>
        <v/>
      </c>
      <c r="M14" s="23">
        <f>IF(OR(B14="",K14="",J14="Cerrado"),"",K14-Panel!$C$10)</f>
        <v/>
      </c>
      <c r="N14" s="23">
        <f>IF(C14="","",COUNTIF($C$7:C14,C14))</f>
        <v/>
      </c>
      <c r="O14" s="28">
        <f>IF(OR(B14="",K14="",AND(J14&lt;&gt;"Pendiente",J14&lt;&gt;"En curso")),"",K14+ROW()/100000)</f>
        <v/>
      </c>
    </row>
    <row r="15" ht="30" customHeight="1">
      <c r="B15" s="9" t="n">
        <v>46043</v>
      </c>
      <c r="C15" s="25" t="inlineStr">
        <is>
          <t>Álvaro Herrero Sanz</t>
        </is>
      </c>
      <c r="D15" s="22">
        <f>IF(C15="","",IFERROR(VLOOKUP(C15,Alumnos!$B$7:$C$36,2,FALSE),""))</f>
        <v/>
      </c>
      <c r="E15" s="22">
        <f>IF(B15="","",IF(B15&gt;=Panel!$C$12,"3.º",IF(B15&gt;=Panel!$C$11,"2.º","1.º")))</f>
        <v/>
      </c>
      <c r="F15" s="25" t="inlineStr">
        <is>
          <t>Padre</t>
        </is>
      </c>
      <c r="G15" s="26" t="inlineStr">
        <is>
          <t>Telefónica</t>
        </is>
      </c>
      <c r="H15" s="25" t="inlineStr">
        <is>
          <t>Asistencia y puntualidad</t>
        </is>
      </c>
      <c r="I15" s="27" t="inlineStr">
        <is>
          <t>Seis faltas sin justificar; la familia aportará los justificantes.</t>
        </is>
      </c>
      <c r="J15" s="26" t="inlineStr">
        <is>
          <t>Pendiente</t>
        </is>
      </c>
      <c r="K15" s="9" t="n">
        <v>46071</v>
      </c>
      <c r="L15" s="22">
        <f>IF(B15="","",IF(J15="Cerrado","Cerrado",IF(OR(J15="",J15="Sin seguimiento"),"Sin seguimiento",IF(K15="","Sin fecha",IF(K15&lt;Panel!$C$10,"Vencida",IF(K15-Panel!$C$10&lt;=Panel!$C$13,"Próxima","Programada"))))))</f>
        <v/>
      </c>
      <c r="M15" s="23">
        <f>IF(OR(B15="",K15="",J15="Cerrado"),"",K15-Panel!$C$10)</f>
        <v/>
      </c>
      <c r="N15" s="23">
        <f>IF(C15="","",COUNTIF($C$7:C15,C15))</f>
        <v/>
      </c>
      <c r="O15" s="28">
        <f>IF(OR(B15="",K15="",AND(J15&lt;&gt;"Pendiente",J15&lt;&gt;"En curso")),"",K15+ROW()/100000)</f>
        <v/>
      </c>
    </row>
    <row r="16" ht="30" customHeight="1">
      <c r="B16" s="9" t="n">
        <v>46057</v>
      </c>
      <c r="C16" s="25" t="inlineStr">
        <is>
          <t>Noa Prieto Vega</t>
        </is>
      </c>
      <c r="D16" s="22">
        <f>IF(C16="","",IFERROR(VLOOKUP(C16,Alumnos!$B$7:$C$36,2,FALSE),""))</f>
        <v/>
      </c>
      <c r="E16" s="22">
        <f>IF(B16="","",IF(B16&gt;=Panel!$C$12,"3.º",IF(B16&gt;=Panel!$C$11,"2.º","1.º")))</f>
        <v/>
      </c>
      <c r="F16" s="25" t="inlineStr">
        <is>
          <t>Madre</t>
        </is>
      </c>
      <c r="G16" s="26" t="inlineStr">
        <is>
          <t>Videollamada</t>
        </is>
      </c>
      <c r="H16" s="25" t="inlineStr">
        <is>
          <t>Rendimiento académico</t>
        </is>
      </c>
      <c r="I16" s="27" t="inlineStr">
        <is>
          <t>Bajada en Lengua e Inglés; se propone el refuerzo del centro.</t>
        </is>
      </c>
      <c r="J16" s="26" t="inlineStr">
        <is>
          <t>En curso</t>
        </is>
      </c>
      <c r="K16" s="9" t="n">
        <v>46120</v>
      </c>
      <c r="L16" s="22">
        <f>IF(B16="","",IF(J16="Cerrado","Cerrado",IF(OR(J16="",J16="Sin seguimiento"),"Sin seguimiento",IF(K16="","Sin fecha",IF(K16&lt;Panel!$C$10,"Vencida",IF(K16-Panel!$C$10&lt;=Panel!$C$13,"Próxima","Programada"))))))</f>
        <v/>
      </c>
      <c r="M16" s="23">
        <f>IF(OR(B16="",K16="",J16="Cerrado"),"",K16-Panel!$C$10)</f>
        <v/>
      </c>
      <c r="N16" s="23">
        <f>IF(C16="","",COUNTIF($C$7:C16,C16))</f>
        <v/>
      </c>
      <c r="O16" s="28">
        <f>IF(OR(B16="",K16="",AND(J16&lt;&gt;"Pendiente",J16&lt;&gt;"En curso")),"",K16+ROW()/100000)</f>
        <v/>
      </c>
    </row>
    <row r="17" ht="30" customHeight="1">
      <c r="B17" s="9" t="n">
        <v>46071</v>
      </c>
      <c r="C17" s="25" t="inlineStr">
        <is>
          <t>Pablo Ortega Ruiz</t>
        </is>
      </c>
      <c r="D17" s="22">
        <f>IF(C17="","",IFERROR(VLOOKUP(C17,Alumnos!$B$7:$C$36,2,FALSE),""))</f>
        <v/>
      </c>
      <c r="E17" s="22">
        <f>IF(B17="","",IF(B17&gt;=Panel!$C$12,"3.º",IF(B17&gt;=Panel!$C$11,"2.º","1.º")))</f>
        <v/>
      </c>
      <c r="F17" s="25" t="inlineStr">
        <is>
          <t>Ambos progenitores</t>
        </is>
      </c>
      <c r="G17" s="26" t="inlineStr">
        <is>
          <t>Presencial</t>
        </is>
      </c>
      <c r="H17" s="25" t="inlineStr">
        <is>
          <t>Rendimiento académico</t>
        </is>
      </c>
      <c r="I17" s="27" t="inlineStr">
        <is>
          <t>Resultados de la 2.ª evaluación y organización de los deberes.</t>
        </is>
      </c>
      <c r="J17" s="26" t="inlineStr">
        <is>
          <t>Pendiente</t>
        </is>
      </c>
      <c r="K17" s="9" t="n">
        <v>46091</v>
      </c>
      <c r="L17" s="22">
        <f>IF(B17="","",IF(J17="Cerrado","Cerrado",IF(OR(J17="",J17="Sin seguimiento"),"Sin seguimiento",IF(K17="","Sin fecha",IF(K17&lt;Panel!$C$10,"Vencida",IF(K17-Panel!$C$10&lt;=Panel!$C$13,"Próxima","Programada"))))))</f>
        <v/>
      </c>
      <c r="M17" s="23">
        <f>IF(OR(B17="",K17="",J17="Cerrado"),"",K17-Panel!$C$10)</f>
        <v/>
      </c>
      <c r="N17" s="23">
        <f>IF(C17="","",COUNTIF($C$7:C17,C17))</f>
        <v/>
      </c>
      <c r="O17" s="28">
        <f>IF(OR(B17="",K17="",AND(J17&lt;&gt;"Pendiente",J17&lt;&gt;"En curso")),"",K17+ROW()/100000)</f>
        <v/>
      </c>
    </row>
    <row r="18" ht="30" customHeight="1">
      <c r="B18" s="9" t="n">
        <v>46078</v>
      </c>
      <c r="C18" s="25" t="inlineStr">
        <is>
          <t>Mateo Cano Ríos</t>
        </is>
      </c>
      <c r="D18" s="22">
        <f>IF(C18="","",IFERROR(VLOOKUP(C18,Alumnos!$B$7:$C$36,2,FALSE),""))</f>
        <v/>
      </c>
      <c r="E18" s="22">
        <f>IF(B18="","",IF(B18&gt;=Panel!$C$12,"3.º",IF(B18&gt;=Panel!$C$11,"2.º","1.º")))</f>
        <v/>
      </c>
      <c r="F18" s="25" t="inlineStr">
        <is>
          <t>Padre</t>
        </is>
      </c>
      <c r="G18" s="26" t="inlineStr">
        <is>
          <t>Presencial</t>
        </is>
      </c>
      <c r="H18" s="25" t="inlineStr">
        <is>
          <t>Conducta</t>
        </is>
      </c>
      <c r="I18" s="27" t="inlineStr">
        <is>
          <t>Falta de material y uso del móvil; se aplica el protocolo del centro.</t>
        </is>
      </c>
      <c r="J18" s="26" t="inlineStr">
        <is>
          <t>Cerrado</t>
        </is>
      </c>
      <c r="K18" s="9" t="n"/>
      <c r="L18" s="22">
        <f>IF(B18="","",IF(J18="Cerrado","Cerrado",IF(OR(J18="",J18="Sin seguimiento"),"Sin seguimiento",IF(K18="","Sin fecha",IF(K18&lt;Panel!$C$10,"Vencida",IF(K18-Panel!$C$10&lt;=Panel!$C$13,"Próxima","Programada"))))))</f>
        <v/>
      </c>
      <c r="M18" s="23">
        <f>IF(OR(B18="",K18="",J18="Cerrado"),"",K18-Panel!$C$10)</f>
        <v/>
      </c>
      <c r="N18" s="23">
        <f>IF(C18="","",COUNTIF($C$7:C18,C18))</f>
        <v/>
      </c>
      <c r="O18" s="28">
        <f>IF(OR(B18="",K18="",AND(J18&lt;&gt;"Pendiente",J18&lt;&gt;"En curso")),"",K18+ROW()/100000)</f>
        <v/>
      </c>
    </row>
    <row r="19" ht="30" customHeight="1">
      <c r="B19" s="9" t="n">
        <v>46085</v>
      </c>
      <c r="C19" s="25" t="inlineStr">
        <is>
          <t>Daniel Rubio Pardo</t>
        </is>
      </c>
      <c r="D19" s="22">
        <f>IF(C19="","",IFERROR(VLOOKUP(C19,Alumnos!$B$7:$C$36,2,FALSE),""))</f>
        <v/>
      </c>
      <c r="E19" s="22">
        <f>IF(B19="","",IF(B19&gt;=Panel!$C$12,"3.º",IF(B19&gt;=Panel!$C$11,"2.º","1.º")))</f>
        <v/>
      </c>
      <c r="F19" s="25" t="inlineStr">
        <is>
          <t>Ambos progenitores</t>
        </is>
      </c>
      <c r="G19" s="26" t="inlineStr">
        <is>
          <t>Presencial</t>
        </is>
      </c>
      <c r="H19" s="25" t="inlineStr">
        <is>
          <t>Conducta</t>
        </is>
      </c>
      <c r="I19" s="27" t="inlineStr">
        <is>
          <t>Evolución positiva; se retira la ficha de seguimiento diario.</t>
        </is>
      </c>
      <c r="J19" s="26" t="inlineStr">
        <is>
          <t>Pendiente</t>
        </is>
      </c>
      <c r="K19" s="9" t="n">
        <v>46098</v>
      </c>
      <c r="L19" s="22">
        <f>IF(B19="","",IF(J19="Cerrado","Cerrado",IF(OR(J19="",J19="Sin seguimiento"),"Sin seguimiento",IF(K19="","Sin fecha",IF(K19&lt;Panel!$C$10,"Vencida",IF(K19-Panel!$C$10&lt;=Panel!$C$13,"Próxima","Programada"))))))</f>
        <v/>
      </c>
      <c r="M19" s="23">
        <f>IF(OR(B19="",K19="",J19="Cerrado"),"",K19-Panel!$C$10)</f>
        <v/>
      </c>
      <c r="N19" s="23">
        <f>IF(C19="","",COUNTIF($C$7:C19,C19))</f>
        <v/>
      </c>
      <c r="O19" s="28">
        <f>IF(OR(B19="",K19="",AND(J19&lt;&gt;"Pendiente",J19&lt;&gt;"En curso")),"",K19+ROW()/100000)</f>
        <v/>
      </c>
    </row>
    <row r="20" ht="30" customHeight="1">
      <c r="B20" s="9" t="n">
        <v>46090</v>
      </c>
      <c r="C20" s="25" t="inlineStr">
        <is>
          <t>Irene Salas Mora</t>
        </is>
      </c>
      <c r="D20" s="22">
        <f>IF(C20="","",IFERROR(VLOOKUP(C20,Alumnos!$B$7:$C$36,2,FALSE),""))</f>
        <v/>
      </c>
      <c r="E20" s="22">
        <f>IF(B20="","",IF(B20&gt;=Panel!$C$12,"3.º",IF(B20&gt;=Panel!$C$11,"2.º","1.º")))</f>
        <v/>
      </c>
      <c r="F20" s="25" t="inlineStr">
        <is>
          <t>Madre</t>
        </is>
      </c>
      <c r="G20" s="26" t="inlineStr">
        <is>
          <t>Presencial</t>
        </is>
      </c>
      <c r="H20" s="25" t="inlineStr">
        <is>
          <t>Informativa</t>
        </is>
      </c>
      <c r="I20" s="27" t="inlineStr">
        <is>
          <t>Presentación de la salida de fin de curso y autorizaciones.</t>
        </is>
      </c>
      <c r="J20" s="26" t="inlineStr">
        <is>
          <t>Sin seguimiento</t>
        </is>
      </c>
      <c r="K20" s="9" t="n"/>
      <c r="L20" s="22">
        <f>IF(B20="","",IF(J20="Cerrado","Cerrado",IF(OR(J20="",J20="Sin seguimiento"),"Sin seguimiento",IF(K20="","Sin fecha",IF(K20&lt;Panel!$C$10,"Vencida",IF(K20-Panel!$C$10&lt;=Panel!$C$13,"Próxima","Programada"))))))</f>
        <v/>
      </c>
      <c r="M20" s="23">
        <f>IF(OR(B20="",K20="",J20="Cerrado"),"",K20-Panel!$C$10)</f>
        <v/>
      </c>
      <c r="N20" s="23">
        <f>IF(C20="","",COUNTIF($C$7:C20,C20))</f>
        <v/>
      </c>
      <c r="O20" s="28">
        <f>IF(OR(B20="",K20="",AND(J20&lt;&gt;"Pendiente",J20&lt;&gt;"En curso")),"",K20+ROW()/100000)</f>
        <v/>
      </c>
    </row>
    <row r="21" ht="30" customHeight="1">
      <c r="B21" s="9" t="n"/>
      <c r="C21" s="25" t="n"/>
      <c r="D21" s="22">
        <f>IF(C21="","",IFERROR(VLOOKUP(C21,Alumnos!$B$7:$C$36,2,FALSE),""))</f>
        <v/>
      </c>
      <c r="E21" s="22">
        <f>IF(B21="","",IF(B21&gt;=Panel!$C$12,"3.º",IF(B21&gt;=Panel!$C$11,"2.º","1.º")))</f>
        <v/>
      </c>
      <c r="F21" s="25" t="n"/>
      <c r="G21" s="26" t="n"/>
      <c r="H21" s="25" t="n"/>
      <c r="I21" s="27" t="n"/>
      <c r="J21" s="26" t="n"/>
      <c r="K21" s="9" t="n"/>
      <c r="L21" s="22">
        <f>IF(B21="","",IF(J21="Cerrado","Cerrado",IF(OR(J21="",J21="Sin seguimiento"),"Sin seguimiento",IF(K21="","Sin fecha",IF(K21&lt;Panel!$C$10,"Vencida",IF(K21-Panel!$C$10&lt;=Panel!$C$13,"Próxima","Programada"))))))</f>
        <v/>
      </c>
      <c r="M21" s="23">
        <f>IF(OR(B21="",K21="",J21="Cerrado"),"",K21-Panel!$C$10)</f>
        <v/>
      </c>
      <c r="N21" s="23">
        <f>IF(C21="","",COUNTIF($C$7:C21,C21))</f>
        <v/>
      </c>
      <c r="O21" s="28">
        <f>IF(OR(B21="",K21="",AND(J21&lt;&gt;"Pendiente",J21&lt;&gt;"En curso")),"",K21+ROW()/100000)</f>
        <v/>
      </c>
    </row>
    <row r="22" ht="30" customHeight="1">
      <c r="B22" s="9" t="n"/>
      <c r="C22" s="25" t="n"/>
      <c r="D22" s="22">
        <f>IF(C22="","",IFERROR(VLOOKUP(C22,Alumnos!$B$7:$C$36,2,FALSE),""))</f>
        <v/>
      </c>
      <c r="E22" s="22">
        <f>IF(B22="","",IF(B22&gt;=Panel!$C$12,"3.º",IF(B22&gt;=Panel!$C$11,"2.º","1.º")))</f>
        <v/>
      </c>
      <c r="F22" s="25" t="n"/>
      <c r="G22" s="26" t="n"/>
      <c r="H22" s="25" t="n"/>
      <c r="I22" s="27" t="n"/>
      <c r="J22" s="26" t="n"/>
      <c r="K22" s="9" t="n"/>
      <c r="L22" s="22">
        <f>IF(B22="","",IF(J22="Cerrado","Cerrado",IF(OR(J22="",J22="Sin seguimiento"),"Sin seguimiento",IF(K22="","Sin fecha",IF(K22&lt;Panel!$C$10,"Vencida",IF(K22-Panel!$C$10&lt;=Panel!$C$13,"Próxima","Programada"))))))</f>
        <v/>
      </c>
      <c r="M22" s="23">
        <f>IF(OR(B22="",K22="",J22="Cerrado"),"",K22-Panel!$C$10)</f>
        <v/>
      </c>
      <c r="N22" s="23">
        <f>IF(C22="","",COUNTIF($C$7:C22,C22))</f>
        <v/>
      </c>
      <c r="O22" s="28">
        <f>IF(OR(B22="",K22="",AND(J22&lt;&gt;"Pendiente",J22&lt;&gt;"En curso")),"",K22+ROW()/100000)</f>
        <v/>
      </c>
    </row>
    <row r="23" ht="30" customHeight="1">
      <c r="B23" s="9" t="n"/>
      <c r="C23" s="25" t="n"/>
      <c r="D23" s="22">
        <f>IF(C23="","",IFERROR(VLOOKUP(C23,Alumnos!$B$7:$C$36,2,FALSE),""))</f>
        <v/>
      </c>
      <c r="E23" s="22">
        <f>IF(B23="","",IF(B23&gt;=Panel!$C$12,"3.º",IF(B23&gt;=Panel!$C$11,"2.º","1.º")))</f>
        <v/>
      </c>
      <c r="F23" s="25" t="n"/>
      <c r="G23" s="26" t="n"/>
      <c r="H23" s="25" t="n"/>
      <c r="I23" s="27" t="n"/>
      <c r="J23" s="26" t="n"/>
      <c r="K23" s="9" t="n"/>
      <c r="L23" s="22">
        <f>IF(B23="","",IF(J23="Cerrado","Cerrado",IF(OR(J23="",J23="Sin seguimiento"),"Sin seguimiento",IF(K23="","Sin fecha",IF(K23&lt;Panel!$C$10,"Vencida",IF(K23-Panel!$C$10&lt;=Panel!$C$13,"Próxima","Programada"))))))</f>
        <v/>
      </c>
      <c r="M23" s="23">
        <f>IF(OR(B23="",K23="",J23="Cerrado"),"",K23-Panel!$C$10)</f>
        <v/>
      </c>
      <c r="N23" s="23">
        <f>IF(C23="","",COUNTIF($C$7:C23,C23))</f>
        <v/>
      </c>
      <c r="O23" s="28">
        <f>IF(OR(B23="",K23="",AND(J23&lt;&gt;"Pendiente",J23&lt;&gt;"En curso")),"",K23+ROW()/100000)</f>
        <v/>
      </c>
    </row>
    <row r="24" ht="30" customHeight="1">
      <c r="B24" s="9" t="n"/>
      <c r="C24" s="25" t="n"/>
      <c r="D24" s="22">
        <f>IF(C24="","",IFERROR(VLOOKUP(C24,Alumnos!$B$7:$C$36,2,FALSE),""))</f>
        <v/>
      </c>
      <c r="E24" s="22">
        <f>IF(B24="","",IF(B24&gt;=Panel!$C$12,"3.º",IF(B24&gt;=Panel!$C$11,"2.º","1.º")))</f>
        <v/>
      </c>
      <c r="F24" s="25" t="n"/>
      <c r="G24" s="26" t="n"/>
      <c r="H24" s="25" t="n"/>
      <c r="I24" s="27" t="n"/>
      <c r="J24" s="26" t="n"/>
      <c r="K24" s="9" t="n"/>
      <c r="L24" s="22">
        <f>IF(B24="","",IF(J24="Cerrado","Cerrado",IF(OR(J24="",J24="Sin seguimiento"),"Sin seguimiento",IF(K24="","Sin fecha",IF(K24&lt;Panel!$C$10,"Vencida",IF(K24-Panel!$C$10&lt;=Panel!$C$13,"Próxima","Programada"))))))</f>
        <v/>
      </c>
      <c r="M24" s="23">
        <f>IF(OR(B24="",K24="",J24="Cerrado"),"",K24-Panel!$C$10)</f>
        <v/>
      </c>
      <c r="N24" s="23">
        <f>IF(C24="","",COUNTIF($C$7:C24,C24))</f>
        <v/>
      </c>
      <c r="O24" s="28">
        <f>IF(OR(B24="",K24="",AND(J24&lt;&gt;"Pendiente",J24&lt;&gt;"En curso")),"",K24+ROW()/100000)</f>
        <v/>
      </c>
    </row>
    <row r="25" ht="30" customHeight="1">
      <c r="B25" s="9" t="n"/>
      <c r="C25" s="25" t="n"/>
      <c r="D25" s="22">
        <f>IF(C25="","",IFERROR(VLOOKUP(C25,Alumnos!$B$7:$C$36,2,FALSE),""))</f>
        <v/>
      </c>
      <c r="E25" s="22">
        <f>IF(B25="","",IF(B25&gt;=Panel!$C$12,"3.º",IF(B25&gt;=Panel!$C$11,"2.º","1.º")))</f>
        <v/>
      </c>
      <c r="F25" s="25" t="n"/>
      <c r="G25" s="26" t="n"/>
      <c r="H25" s="25" t="n"/>
      <c r="I25" s="27" t="n"/>
      <c r="J25" s="26" t="n"/>
      <c r="K25" s="9" t="n"/>
      <c r="L25" s="22">
        <f>IF(B25="","",IF(J25="Cerrado","Cerrado",IF(OR(J25="",J25="Sin seguimiento"),"Sin seguimiento",IF(K25="","Sin fecha",IF(K25&lt;Panel!$C$10,"Vencida",IF(K25-Panel!$C$10&lt;=Panel!$C$13,"Próxima","Programada"))))))</f>
        <v/>
      </c>
      <c r="M25" s="23">
        <f>IF(OR(B25="",K25="",J25="Cerrado"),"",K25-Panel!$C$10)</f>
        <v/>
      </c>
      <c r="N25" s="23">
        <f>IF(C25="","",COUNTIF($C$7:C25,C25))</f>
        <v/>
      </c>
      <c r="O25" s="28">
        <f>IF(OR(B25="",K25="",AND(J25&lt;&gt;"Pendiente",J25&lt;&gt;"En curso")),"",K25+ROW()/100000)</f>
        <v/>
      </c>
    </row>
    <row r="26" ht="30" customHeight="1">
      <c r="B26" s="9" t="n"/>
      <c r="C26" s="25" t="n"/>
      <c r="D26" s="22">
        <f>IF(C26="","",IFERROR(VLOOKUP(C26,Alumnos!$B$7:$C$36,2,FALSE),""))</f>
        <v/>
      </c>
      <c r="E26" s="22">
        <f>IF(B26="","",IF(B26&gt;=Panel!$C$12,"3.º",IF(B26&gt;=Panel!$C$11,"2.º","1.º")))</f>
        <v/>
      </c>
      <c r="F26" s="25" t="n"/>
      <c r="G26" s="26" t="n"/>
      <c r="H26" s="25" t="n"/>
      <c r="I26" s="27" t="n"/>
      <c r="J26" s="26" t="n"/>
      <c r="K26" s="9" t="n"/>
      <c r="L26" s="22">
        <f>IF(B26="","",IF(J26="Cerrado","Cerrado",IF(OR(J26="",J26="Sin seguimiento"),"Sin seguimiento",IF(K26="","Sin fecha",IF(K26&lt;Panel!$C$10,"Vencida",IF(K26-Panel!$C$10&lt;=Panel!$C$13,"Próxima","Programada"))))))</f>
        <v/>
      </c>
      <c r="M26" s="23">
        <f>IF(OR(B26="",K26="",J26="Cerrado"),"",K26-Panel!$C$10)</f>
        <v/>
      </c>
      <c r="N26" s="23">
        <f>IF(C26="","",COUNTIF($C$7:C26,C26))</f>
        <v/>
      </c>
      <c r="O26" s="28">
        <f>IF(OR(B26="",K26="",AND(J26&lt;&gt;"Pendiente",J26&lt;&gt;"En curso")),"",K26+ROW()/100000)</f>
        <v/>
      </c>
    </row>
    <row r="27" ht="30" customHeight="1">
      <c r="B27" s="9" t="n"/>
      <c r="C27" s="25" t="n"/>
      <c r="D27" s="22">
        <f>IF(C27="","",IFERROR(VLOOKUP(C27,Alumnos!$B$7:$C$36,2,FALSE),""))</f>
        <v/>
      </c>
      <c r="E27" s="22">
        <f>IF(B27="","",IF(B27&gt;=Panel!$C$12,"3.º",IF(B27&gt;=Panel!$C$11,"2.º","1.º")))</f>
        <v/>
      </c>
      <c r="F27" s="25" t="n"/>
      <c r="G27" s="26" t="n"/>
      <c r="H27" s="25" t="n"/>
      <c r="I27" s="27" t="n"/>
      <c r="J27" s="26" t="n"/>
      <c r="K27" s="9" t="n"/>
      <c r="L27" s="22">
        <f>IF(B27="","",IF(J27="Cerrado","Cerrado",IF(OR(J27="",J27="Sin seguimiento"),"Sin seguimiento",IF(K27="","Sin fecha",IF(K27&lt;Panel!$C$10,"Vencida",IF(K27-Panel!$C$10&lt;=Panel!$C$13,"Próxima","Programada"))))))</f>
        <v/>
      </c>
      <c r="M27" s="23">
        <f>IF(OR(B27="",K27="",J27="Cerrado"),"",K27-Panel!$C$10)</f>
        <v/>
      </c>
      <c r="N27" s="23">
        <f>IF(C27="","",COUNTIF($C$7:C27,C27))</f>
        <v/>
      </c>
      <c r="O27" s="28">
        <f>IF(OR(B27="",K27="",AND(J27&lt;&gt;"Pendiente",J27&lt;&gt;"En curso")),"",K27+ROW()/100000)</f>
        <v/>
      </c>
    </row>
    <row r="28" ht="30" customHeight="1">
      <c r="B28" s="9" t="n"/>
      <c r="C28" s="25" t="n"/>
      <c r="D28" s="22">
        <f>IF(C28="","",IFERROR(VLOOKUP(C28,Alumnos!$B$7:$C$36,2,FALSE),""))</f>
        <v/>
      </c>
      <c r="E28" s="22">
        <f>IF(B28="","",IF(B28&gt;=Panel!$C$12,"3.º",IF(B28&gt;=Panel!$C$11,"2.º","1.º")))</f>
        <v/>
      </c>
      <c r="F28" s="25" t="n"/>
      <c r="G28" s="26" t="n"/>
      <c r="H28" s="25" t="n"/>
      <c r="I28" s="27" t="n"/>
      <c r="J28" s="26" t="n"/>
      <c r="K28" s="9" t="n"/>
      <c r="L28" s="22">
        <f>IF(B28="","",IF(J28="Cerrado","Cerrado",IF(OR(J28="",J28="Sin seguimiento"),"Sin seguimiento",IF(K28="","Sin fecha",IF(K28&lt;Panel!$C$10,"Vencida",IF(K28-Panel!$C$10&lt;=Panel!$C$13,"Próxima","Programada"))))))</f>
        <v/>
      </c>
      <c r="M28" s="23">
        <f>IF(OR(B28="",K28="",J28="Cerrado"),"",K28-Panel!$C$10)</f>
        <v/>
      </c>
      <c r="N28" s="23">
        <f>IF(C28="","",COUNTIF($C$7:C28,C28))</f>
        <v/>
      </c>
      <c r="O28" s="28">
        <f>IF(OR(B28="",K28="",AND(J28&lt;&gt;"Pendiente",J28&lt;&gt;"En curso")),"",K28+ROW()/100000)</f>
        <v/>
      </c>
    </row>
    <row r="29" ht="30" customHeight="1">
      <c r="B29" s="9" t="n"/>
      <c r="C29" s="25" t="n"/>
      <c r="D29" s="22">
        <f>IF(C29="","",IFERROR(VLOOKUP(C29,Alumnos!$B$7:$C$36,2,FALSE),""))</f>
        <v/>
      </c>
      <c r="E29" s="22">
        <f>IF(B29="","",IF(B29&gt;=Panel!$C$12,"3.º",IF(B29&gt;=Panel!$C$11,"2.º","1.º")))</f>
        <v/>
      </c>
      <c r="F29" s="25" t="n"/>
      <c r="G29" s="26" t="n"/>
      <c r="H29" s="25" t="n"/>
      <c r="I29" s="27" t="n"/>
      <c r="J29" s="26" t="n"/>
      <c r="K29" s="9" t="n"/>
      <c r="L29" s="22">
        <f>IF(B29="","",IF(J29="Cerrado","Cerrado",IF(OR(J29="",J29="Sin seguimiento"),"Sin seguimiento",IF(K29="","Sin fecha",IF(K29&lt;Panel!$C$10,"Vencida",IF(K29-Panel!$C$10&lt;=Panel!$C$13,"Próxima","Programada"))))))</f>
        <v/>
      </c>
      <c r="M29" s="23">
        <f>IF(OR(B29="",K29="",J29="Cerrado"),"",K29-Panel!$C$10)</f>
        <v/>
      </c>
      <c r="N29" s="23">
        <f>IF(C29="","",COUNTIF($C$7:C29,C29))</f>
        <v/>
      </c>
      <c r="O29" s="28">
        <f>IF(OR(B29="",K29="",AND(J29&lt;&gt;"Pendiente",J29&lt;&gt;"En curso")),"",K29+ROW()/100000)</f>
        <v/>
      </c>
    </row>
    <row r="30" ht="30" customHeight="1">
      <c r="B30" s="9" t="n"/>
      <c r="C30" s="25" t="n"/>
      <c r="D30" s="22">
        <f>IF(C30="","",IFERROR(VLOOKUP(C30,Alumnos!$B$7:$C$36,2,FALSE),""))</f>
        <v/>
      </c>
      <c r="E30" s="22">
        <f>IF(B30="","",IF(B30&gt;=Panel!$C$12,"3.º",IF(B30&gt;=Panel!$C$11,"2.º","1.º")))</f>
        <v/>
      </c>
      <c r="F30" s="25" t="n"/>
      <c r="G30" s="26" t="n"/>
      <c r="H30" s="25" t="n"/>
      <c r="I30" s="27" t="n"/>
      <c r="J30" s="26" t="n"/>
      <c r="K30" s="9" t="n"/>
      <c r="L30" s="22">
        <f>IF(B30="","",IF(J30="Cerrado","Cerrado",IF(OR(J30="",J30="Sin seguimiento"),"Sin seguimiento",IF(K30="","Sin fecha",IF(K30&lt;Panel!$C$10,"Vencida",IF(K30-Panel!$C$10&lt;=Panel!$C$13,"Próxima","Programada"))))))</f>
        <v/>
      </c>
      <c r="M30" s="23">
        <f>IF(OR(B30="",K30="",J30="Cerrado"),"",K30-Panel!$C$10)</f>
        <v/>
      </c>
      <c r="N30" s="23">
        <f>IF(C30="","",COUNTIF($C$7:C30,C30))</f>
        <v/>
      </c>
      <c r="O30" s="28">
        <f>IF(OR(B30="",K30="",AND(J30&lt;&gt;"Pendiente",J30&lt;&gt;"En curso")),"",K30+ROW()/100000)</f>
        <v/>
      </c>
    </row>
    <row r="31" ht="30" customHeight="1">
      <c r="B31" s="9" t="n"/>
      <c r="C31" s="25" t="n"/>
      <c r="D31" s="22">
        <f>IF(C31="","",IFERROR(VLOOKUP(C31,Alumnos!$B$7:$C$36,2,FALSE),""))</f>
        <v/>
      </c>
      <c r="E31" s="22">
        <f>IF(B31="","",IF(B31&gt;=Panel!$C$12,"3.º",IF(B31&gt;=Panel!$C$11,"2.º","1.º")))</f>
        <v/>
      </c>
      <c r="F31" s="25" t="n"/>
      <c r="G31" s="26" t="n"/>
      <c r="H31" s="25" t="n"/>
      <c r="I31" s="27" t="n"/>
      <c r="J31" s="26" t="n"/>
      <c r="K31" s="9" t="n"/>
      <c r="L31" s="22">
        <f>IF(B31="","",IF(J31="Cerrado","Cerrado",IF(OR(J31="",J31="Sin seguimiento"),"Sin seguimiento",IF(K31="","Sin fecha",IF(K31&lt;Panel!$C$10,"Vencida",IF(K31-Panel!$C$10&lt;=Panel!$C$13,"Próxima","Programada"))))))</f>
        <v/>
      </c>
      <c r="M31" s="23">
        <f>IF(OR(B31="",K31="",J31="Cerrado"),"",K31-Panel!$C$10)</f>
        <v/>
      </c>
      <c r="N31" s="23">
        <f>IF(C31="","",COUNTIF($C$7:C31,C31))</f>
        <v/>
      </c>
      <c r="O31" s="28">
        <f>IF(OR(B31="",K31="",AND(J31&lt;&gt;"Pendiente",J31&lt;&gt;"En curso")),"",K31+ROW()/100000)</f>
        <v/>
      </c>
    </row>
    <row r="32" ht="30" customHeight="1">
      <c r="B32" s="9" t="n"/>
      <c r="C32" s="25" t="n"/>
      <c r="D32" s="22">
        <f>IF(C32="","",IFERROR(VLOOKUP(C32,Alumnos!$B$7:$C$36,2,FALSE),""))</f>
        <v/>
      </c>
      <c r="E32" s="22">
        <f>IF(B32="","",IF(B32&gt;=Panel!$C$12,"3.º",IF(B32&gt;=Panel!$C$11,"2.º","1.º")))</f>
        <v/>
      </c>
      <c r="F32" s="25" t="n"/>
      <c r="G32" s="26" t="n"/>
      <c r="H32" s="25" t="n"/>
      <c r="I32" s="27" t="n"/>
      <c r="J32" s="26" t="n"/>
      <c r="K32" s="9" t="n"/>
      <c r="L32" s="22">
        <f>IF(B32="","",IF(J32="Cerrado","Cerrado",IF(OR(J32="",J32="Sin seguimiento"),"Sin seguimiento",IF(K32="","Sin fecha",IF(K32&lt;Panel!$C$10,"Vencida",IF(K32-Panel!$C$10&lt;=Panel!$C$13,"Próxima","Programada"))))))</f>
        <v/>
      </c>
      <c r="M32" s="23">
        <f>IF(OR(B32="",K32="",J32="Cerrado"),"",K32-Panel!$C$10)</f>
        <v/>
      </c>
      <c r="N32" s="23">
        <f>IF(C32="","",COUNTIF($C$7:C32,C32))</f>
        <v/>
      </c>
      <c r="O32" s="28">
        <f>IF(OR(B32="",K32="",AND(J32&lt;&gt;"Pendiente",J32&lt;&gt;"En curso")),"",K32+ROW()/100000)</f>
        <v/>
      </c>
    </row>
    <row r="33" ht="30" customHeight="1">
      <c r="B33" s="9" t="n"/>
      <c r="C33" s="25" t="n"/>
      <c r="D33" s="22">
        <f>IF(C33="","",IFERROR(VLOOKUP(C33,Alumnos!$B$7:$C$36,2,FALSE),""))</f>
        <v/>
      </c>
      <c r="E33" s="22">
        <f>IF(B33="","",IF(B33&gt;=Panel!$C$12,"3.º",IF(B33&gt;=Panel!$C$11,"2.º","1.º")))</f>
        <v/>
      </c>
      <c r="F33" s="25" t="n"/>
      <c r="G33" s="26" t="n"/>
      <c r="H33" s="25" t="n"/>
      <c r="I33" s="27" t="n"/>
      <c r="J33" s="26" t="n"/>
      <c r="K33" s="9" t="n"/>
      <c r="L33" s="22">
        <f>IF(B33="","",IF(J33="Cerrado","Cerrado",IF(OR(J33="",J33="Sin seguimiento"),"Sin seguimiento",IF(K33="","Sin fecha",IF(K33&lt;Panel!$C$10,"Vencida",IF(K33-Panel!$C$10&lt;=Panel!$C$13,"Próxima","Programada"))))))</f>
        <v/>
      </c>
      <c r="M33" s="23">
        <f>IF(OR(B33="",K33="",J33="Cerrado"),"",K33-Panel!$C$10)</f>
        <v/>
      </c>
      <c r="N33" s="23">
        <f>IF(C33="","",COUNTIF($C$7:C33,C33))</f>
        <v/>
      </c>
      <c r="O33" s="28">
        <f>IF(OR(B33="",K33="",AND(J33&lt;&gt;"Pendiente",J33&lt;&gt;"En curso")),"",K33+ROW()/100000)</f>
        <v/>
      </c>
    </row>
    <row r="34" ht="30" customHeight="1">
      <c r="B34" s="9" t="n"/>
      <c r="C34" s="25" t="n"/>
      <c r="D34" s="22">
        <f>IF(C34="","",IFERROR(VLOOKUP(C34,Alumnos!$B$7:$C$36,2,FALSE),""))</f>
        <v/>
      </c>
      <c r="E34" s="22">
        <f>IF(B34="","",IF(B34&gt;=Panel!$C$12,"3.º",IF(B34&gt;=Panel!$C$11,"2.º","1.º")))</f>
        <v/>
      </c>
      <c r="F34" s="25" t="n"/>
      <c r="G34" s="26" t="n"/>
      <c r="H34" s="25" t="n"/>
      <c r="I34" s="27" t="n"/>
      <c r="J34" s="26" t="n"/>
      <c r="K34" s="9" t="n"/>
      <c r="L34" s="22">
        <f>IF(B34="","",IF(J34="Cerrado","Cerrado",IF(OR(J34="",J34="Sin seguimiento"),"Sin seguimiento",IF(K34="","Sin fecha",IF(K34&lt;Panel!$C$10,"Vencida",IF(K34-Panel!$C$10&lt;=Panel!$C$13,"Próxima","Programada"))))))</f>
        <v/>
      </c>
      <c r="M34" s="23">
        <f>IF(OR(B34="",K34="",J34="Cerrado"),"",K34-Panel!$C$10)</f>
        <v/>
      </c>
      <c r="N34" s="23">
        <f>IF(C34="","",COUNTIF($C$7:C34,C34))</f>
        <v/>
      </c>
      <c r="O34" s="28">
        <f>IF(OR(B34="",K34="",AND(J34&lt;&gt;"Pendiente",J34&lt;&gt;"En curso")),"",K34+ROW()/100000)</f>
        <v/>
      </c>
    </row>
    <row r="35" ht="30" customHeight="1">
      <c r="B35" s="9" t="n"/>
      <c r="C35" s="25" t="n"/>
      <c r="D35" s="22">
        <f>IF(C35="","",IFERROR(VLOOKUP(C35,Alumnos!$B$7:$C$36,2,FALSE),""))</f>
        <v/>
      </c>
      <c r="E35" s="22">
        <f>IF(B35="","",IF(B35&gt;=Panel!$C$12,"3.º",IF(B35&gt;=Panel!$C$11,"2.º","1.º")))</f>
        <v/>
      </c>
      <c r="F35" s="25" t="n"/>
      <c r="G35" s="26" t="n"/>
      <c r="H35" s="25" t="n"/>
      <c r="I35" s="27" t="n"/>
      <c r="J35" s="26" t="n"/>
      <c r="K35" s="9" t="n"/>
      <c r="L35" s="22">
        <f>IF(B35="","",IF(J35="Cerrado","Cerrado",IF(OR(J35="",J35="Sin seguimiento"),"Sin seguimiento",IF(K35="","Sin fecha",IF(K35&lt;Panel!$C$10,"Vencida",IF(K35-Panel!$C$10&lt;=Panel!$C$13,"Próxima","Programada"))))))</f>
        <v/>
      </c>
      <c r="M35" s="23">
        <f>IF(OR(B35="",K35="",J35="Cerrado"),"",K35-Panel!$C$10)</f>
        <v/>
      </c>
      <c r="N35" s="23">
        <f>IF(C35="","",COUNTIF($C$7:C35,C35))</f>
        <v/>
      </c>
      <c r="O35" s="28">
        <f>IF(OR(B35="",K35="",AND(J35&lt;&gt;"Pendiente",J35&lt;&gt;"En curso")),"",K35+ROW()/100000)</f>
        <v/>
      </c>
    </row>
    <row r="36" ht="30" customHeight="1">
      <c r="B36" s="9" t="n"/>
      <c r="C36" s="25" t="n"/>
      <c r="D36" s="22">
        <f>IF(C36="","",IFERROR(VLOOKUP(C36,Alumnos!$B$7:$C$36,2,FALSE),""))</f>
        <v/>
      </c>
      <c r="E36" s="22">
        <f>IF(B36="","",IF(B36&gt;=Panel!$C$12,"3.º",IF(B36&gt;=Panel!$C$11,"2.º","1.º")))</f>
        <v/>
      </c>
      <c r="F36" s="25" t="n"/>
      <c r="G36" s="26" t="n"/>
      <c r="H36" s="25" t="n"/>
      <c r="I36" s="27" t="n"/>
      <c r="J36" s="26" t="n"/>
      <c r="K36" s="9" t="n"/>
      <c r="L36" s="22">
        <f>IF(B36="","",IF(J36="Cerrado","Cerrado",IF(OR(J36="",J36="Sin seguimiento"),"Sin seguimiento",IF(K36="","Sin fecha",IF(K36&lt;Panel!$C$10,"Vencida",IF(K36-Panel!$C$10&lt;=Panel!$C$13,"Próxima","Programada"))))))</f>
        <v/>
      </c>
      <c r="M36" s="23">
        <f>IF(OR(B36="",K36="",J36="Cerrado"),"",K36-Panel!$C$10)</f>
        <v/>
      </c>
      <c r="N36" s="23">
        <f>IF(C36="","",COUNTIF($C$7:C36,C36))</f>
        <v/>
      </c>
      <c r="O36" s="28">
        <f>IF(OR(B36="",K36="",AND(J36&lt;&gt;"Pendiente",J36&lt;&gt;"En curso")),"",K36+ROW()/100000)</f>
        <v/>
      </c>
    </row>
    <row r="37" ht="30" customHeight="1">
      <c r="B37" s="9" t="n"/>
      <c r="C37" s="25" t="n"/>
      <c r="D37" s="22">
        <f>IF(C37="","",IFERROR(VLOOKUP(C37,Alumnos!$B$7:$C$36,2,FALSE),""))</f>
        <v/>
      </c>
      <c r="E37" s="22">
        <f>IF(B37="","",IF(B37&gt;=Panel!$C$12,"3.º",IF(B37&gt;=Panel!$C$11,"2.º","1.º")))</f>
        <v/>
      </c>
      <c r="F37" s="25" t="n"/>
      <c r="G37" s="26" t="n"/>
      <c r="H37" s="25" t="n"/>
      <c r="I37" s="27" t="n"/>
      <c r="J37" s="26" t="n"/>
      <c r="K37" s="9" t="n"/>
      <c r="L37" s="22">
        <f>IF(B37="","",IF(J37="Cerrado","Cerrado",IF(OR(J37="",J37="Sin seguimiento"),"Sin seguimiento",IF(K37="","Sin fecha",IF(K37&lt;Panel!$C$10,"Vencida",IF(K37-Panel!$C$10&lt;=Panel!$C$13,"Próxima","Programada"))))))</f>
        <v/>
      </c>
      <c r="M37" s="23">
        <f>IF(OR(B37="",K37="",J37="Cerrado"),"",K37-Panel!$C$10)</f>
        <v/>
      </c>
      <c r="N37" s="23">
        <f>IF(C37="","",COUNTIF($C$7:C37,C37))</f>
        <v/>
      </c>
      <c r="O37" s="28">
        <f>IF(OR(B37="",K37="",AND(J37&lt;&gt;"Pendiente",J37&lt;&gt;"En curso")),"",K37+ROW()/100000)</f>
        <v/>
      </c>
    </row>
    <row r="38" ht="30" customHeight="1">
      <c r="B38" s="9" t="n"/>
      <c r="C38" s="25" t="n"/>
      <c r="D38" s="22">
        <f>IF(C38="","",IFERROR(VLOOKUP(C38,Alumnos!$B$7:$C$36,2,FALSE),""))</f>
        <v/>
      </c>
      <c r="E38" s="22">
        <f>IF(B38="","",IF(B38&gt;=Panel!$C$12,"3.º",IF(B38&gt;=Panel!$C$11,"2.º","1.º")))</f>
        <v/>
      </c>
      <c r="F38" s="25" t="n"/>
      <c r="G38" s="26" t="n"/>
      <c r="H38" s="25" t="n"/>
      <c r="I38" s="27" t="n"/>
      <c r="J38" s="26" t="n"/>
      <c r="K38" s="9" t="n"/>
      <c r="L38" s="22">
        <f>IF(B38="","",IF(J38="Cerrado","Cerrado",IF(OR(J38="",J38="Sin seguimiento"),"Sin seguimiento",IF(K38="","Sin fecha",IF(K38&lt;Panel!$C$10,"Vencida",IF(K38-Panel!$C$10&lt;=Panel!$C$13,"Próxima","Programada"))))))</f>
        <v/>
      </c>
      <c r="M38" s="23">
        <f>IF(OR(B38="",K38="",J38="Cerrado"),"",K38-Panel!$C$10)</f>
        <v/>
      </c>
      <c r="N38" s="23">
        <f>IF(C38="","",COUNTIF($C$7:C38,C38))</f>
        <v/>
      </c>
      <c r="O38" s="28">
        <f>IF(OR(B38="",K38="",AND(J38&lt;&gt;"Pendiente",J38&lt;&gt;"En curso")),"",K38+ROW()/100000)</f>
        <v/>
      </c>
    </row>
    <row r="39" ht="30" customHeight="1">
      <c r="B39" s="9" t="n"/>
      <c r="C39" s="25" t="n"/>
      <c r="D39" s="22">
        <f>IF(C39="","",IFERROR(VLOOKUP(C39,Alumnos!$B$7:$C$36,2,FALSE),""))</f>
        <v/>
      </c>
      <c r="E39" s="22">
        <f>IF(B39="","",IF(B39&gt;=Panel!$C$12,"3.º",IF(B39&gt;=Panel!$C$11,"2.º","1.º")))</f>
        <v/>
      </c>
      <c r="F39" s="25" t="n"/>
      <c r="G39" s="26" t="n"/>
      <c r="H39" s="25" t="n"/>
      <c r="I39" s="27" t="n"/>
      <c r="J39" s="26" t="n"/>
      <c r="K39" s="9" t="n"/>
      <c r="L39" s="22">
        <f>IF(B39="","",IF(J39="Cerrado","Cerrado",IF(OR(J39="",J39="Sin seguimiento"),"Sin seguimiento",IF(K39="","Sin fecha",IF(K39&lt;Panel!$C$10,"Vencida",IF(K39-Panel!$C$10&lt;=Panel!$C$13,"Próxima","Programada"))))))</f>
        <v/>
      </c>
      <c r="M39" s="23">
        <f>IF(OR(B39="",K39="",J39="Cerrado"),"",K39-Panel!$C$10)</f>
        <v/>
      </c>
      <c r="N39" s="23">
        <f>IF(C39="","",COUNTIF($C$7:C39,C39))</f>
        <v/>
      </c>
      <c r="O39" s="28">
        <f>IF(OR(B39="",K39="",AND(J39&lt;&gt;"Pendiente",J39&lt;&gt;"En curso")),"",K39+ROW()/100000)</f>
        <v/>
      </c>
    </row>
    <row r="40" ht="30" customHeight="1">
      <c r="B40" s="9" t="n"/>
      <c r="C40" s="25" t="n"/>
      <c r="D40" s="22">
        <f>IF(C40="","",IFERROR(VLOOKUP(C40,Alumnos!$B$7:$C$36,2,FALSE),""))</f>
        <v/>
      </c>
      <c r="E40" s="22">
        <f>IF(B40="","",IF(B40&gt;=Panel!$C$12,"3.º",IF(B40&gt;=Panel!$C$11,"2.º","1.º")))</f>
        <v/>
      </c>
      <c r="F40" s="25" t="n"/>
      <c r="G40" s="26" t="n"/>
      <c r="H40" s="25" t="n"/>
      <c r="I40" s="27" t="n"/>
      <c r="J40" s="26" t="n"/>
      <c r="K40" s="9" t="n"/>
      <c r="L40" s="22">
        <f>IF(B40="","",IF(J40="Cerrado","Cerrado",IF(OR(J40="",J40="Sin seguimiento"),"Sin seguimiento",IF(K40="","Sin fecha",IF(K40&lt;Panel!$C$10,"Vencida",IF(K40-Panel!$C$10&lt;=Panel!$C$13,"Próxima","Programada"))))))</f>
        <v/>
      </c>
      <c r="M40" s="23">
        <f>IF(OR(B40="",K40="",J40="Cerrado"),"",K40-Panel!$C$10)</f>
        <v/>
      </c>
      <c r="N40" s="23">
        <f>IF(C40="","",COUNTIF($C$7:C40,C40))</f>
        <v/>
      </c>
      <c r="O40" s="28">
        <f>IF(OR(B40="",K40="",AND(J40&lt;&gt;"Pendiente",J40&lt;&gt;"En curso")),"",K40+ROW()/100000)</f>
        <v/>
      </c>
    </row>
    <row r="41" ht="30" customHeight="1">
      <c r="B41" s="9" t="n"/>
      <c r="C41" s="25" t="n"/>
      <c r="D41" s="22">
        <f>IF(C41="","",IFERROR(VLOOKUP(C41,Alumnos!$B$7:$C$36,2,FALSE),""))</f>
        <v/>
      </c>
      <c r="E41" s="22">
        <f>IF(B41="","",IF(B41&gt;=Panel!$C$12,"3.º",IF(B41&gt;=Panel!$C$11,"2.º","1.º")))</f>
        <v/>
      </c>
      <c r="F41" s="25" t="n"/>
      <c r="G41" s="26" t="n"/>
      <c r="H41" s="25" t="n"/>
      <c r="I41" s="27" t="n"/>
      <c r="J41" s="26" t="n"/>
      <c r="K41" s="9" t="n"/>
      <c r="L41" s="22">
        <f>IF(B41="","",IF(J41="Cerrado","Cerrado",IF(OR(J41="",J41="Sin seguimiento"),"Sin seguimiento",IF(K41="","Sin fecha",IF(K41&lt;Panel!$C$10,"Vencida",IF(K41-Panel!$C$10&lt;=Panel!$C$13,"Próxima","Programada"))))))</f>
        <v/>
      </c>
      <c r="M41" s="23">
        <f>IF(OR(B41="",K41="",J41="Cerrado"),"",K41-Panel!$C$10)</f>
        <v/>
      </c>
      <c r="N41" s="23">
        <f>IF(C41="","",COUNTIF($C$7:C41,C41))</f>
        <v/>
      </c>
      <c r="O41" s="28">
        <f>IF(OR(B41="",K41="",AND(J41&lt;&gt;"Pendiente",J41&lt;&gt;"En curso")),"",K41+ROW()/100000)</f>
        <v/>
      </c>
    </row>
    <row r="42" ht="30" customHeight="1">
      <c r="B42" s="9" t="n"/>
      <c r="C42" s="25" t="n"/>
      <c r="D42" s="22">
        <f>IF(C42="","",IFERROR(VLOOKUP(C42,Alumnos!$B$7:$C$36,2,FALSE),""))</f>
        <v/>
      </c>
      <c r="E42" s="22">
        <f>IF(B42="","",IF(B42&gt;=Panel!$C$12,"3.º",IF(B42&gt;=Panel!$C$11,"2.º","1.º")))</f>
        <v/>
      </c>
      <c r="F42" s="25" t="n"/>
      <c r="G42" s="26" t="n"/>
      <c r="H42" s="25" t="n"/>
      <c r="I42" s="27" t="n"/>
      <c r="J42" s="26" t="n"/>
      <c r="K42" s="9" t="n"/>
      <c r="L42" s="22">
        <f>IF(B42="","",IF(J42="Cerrado","Cerrado",IF(OR(J42="",J42="Sin seguimiento"),"Sin seguimiento",IF(K42="","Sin fecha",IF(K42&lt;Panel!$C$10,"Vencida",IF(K42-Panel!$C$10&lt;=Panel!$C$13,"Próxima","Programada"))))))</f>
        <v/>
      </c>
      <c r="M42" s="23">
        <f>IF(OR(B42="",K42="",J42="Cerrado"),"",K42-Panel!$C$10)</f>
        <v/>
      </c>
      <c r="N42" s="23">
        <f>IF(C42="","",COUNTIF($C$7:C42,C42))</f>
        <v/>
      </c>
      <c r="O42" s="28">
        <f>IF(OR(B42="",K42="",AND(J42&lt;&gt;"Pendiente",J42&lt;&gt;"En curso")),"",K42+ROW()/100000)</f>
        <v/>
      </c>
    </row>
    <row r="43" ht="30" customHeight="1">
      <c r="B43" s="9" t="n"/>
      <c r="C43" s="25" t="n"/>
      <c r="D43" s="22">
        <f>IF(C43="","",IFERROR(VLOOKUP(C43,Alumnos!$B$7:$C$36,2,FALSE),""))</f>
        <v/>
      </c>
      <c r="E43" s="22">
        <f>IF(B43="","",IF(B43&gt;=Panel!$C$12,"3.º",IF(B43&gt;=Panel!$C$11,"2.º","1.º")))</f>
        <v/>
      </c>
      <c r="F43" s="25" t="n"/>
      <c r="G43" s="26" t="n"/>
      <c r="H43" s="25" t="n"/>
      <c r="I43" s="27" t="n"/>
      <c r="J43" s="26" t="n"/>
      <c r="K43" s="9" t="n"/>
      <c r="L43" s="22">
        <f>IF(B43="","",IF(J43="Cerrado","Cerrado",IF(OR(J43="",J43="Sin seguimiento"),"Sin seguimiento",IF(K43="","Sin fecha",IF(K43&lt;Panel!$C$10,"Vencida",IF(K43-Panel!$C$10&lt;=Panel!$C$13,"Próxima","Programada"))))))</f>
        <v/>
      </c>
      <c r="M43" s="23">
        <f>IF(OR(B43="",K43="",J43="Cerrado"),"",K43-Panel!$C$10)</f>
        <v/>
      </c>
      <c r="N43" s="23">
        <f>IF(C43="","",COUNTIF($C$7:C43,C43))</f>
        <v/>
      </c>
      <c r="O43" s="28">
        <f>IF(OR(B43="",K43="",AND(J43&lt;&gt;"Pendiente",J43&lt;&gt;"En curso")),"",K43+ROW()/100000)</f>
        <v/>
      </c>
    </row>
    <row r="44" ht="30" customHeight="1">
      <c r="B44" s="9" t="n"/>
      <c r="C44" s="25" t="n"/>
      <c r="D44" s="22">
        <f>IF(C44="","",IFERROR(VLOOKUP(C44,Alumnos!$B$7:$C$36,2,FALSE),""))</f>
        <v/>
      </c>
      <c r="E44" s="22">
        <f>IF(B44="","",IF(B44&gt;=Panel!$C$12,"3.º",IF(B44&gt;=Panel!$C$11,"2.º","1.º")))</f>
        <v/>
      </c>
      <c r="F44" s="25" t="n"/>
      <c r="G44" s="26" t="n"/>
      <c r="H44" s="25" t="n"/>
      <c r="I44" s="27" t="n"/>
      <c r="J44" s="26" t="n"/>
      <c r="K44" s="9" t="n"/>
      <c r="L44" s="22">
        <f>IF(B44="","",IF(J44="Cerrado","Cerrado",IF(OR(J44="",J44="Sin seguimiento"),"Sin seguimiento",IF(K44="","Sin fecha",IF(K44&lt;Panel!$C$10,"Vencida",IF(K44-Panel!$C$10&lt;=Panel!$C$13,"Próxima","Programada"))))))</f>
        <v/>
      </c>
      <c r="M44" s="23">
        <f>IF(OR(B44="",K44="",J44="Cerrado"),"",K44-Panel!$C$10)</f>
        <v/>
      </c>
      <c r="N44" s="23">
        <f>IF(C44="","",COUNTIF($C$7:C44,C44))</f>
        <v/>
      </c>
      <c r="O44" s="28">
        <f>IF(OR(B44="",K44="",AND(J44&lt;&gt;"Pendiente",J44&lt;&gt;"En curso")),"",K44+ROW()/100000)</f>
        <v/>
      </c>
    </row>
    <row r="45" ht="30" customHeight="1">
      <c r="B45" s="9" t="n"/>
      <c r="C45" s="25" t="n"/>
      <c r="D45" s="22">
        <f>IF(C45="","",IFERROR(VLOOKUP(C45,Alumnos!$B$7:$C$36,2,FALSE),""))</f>
        <v/>
      </c>
      <c r="E45" s="22">
        <f>IF(B45="","",IF(B45&gt;=Panel!$C$12,"3.º",IF(B45&gt;=Panel!$C$11,"2.º","1.º")))</f>
        <v/>
      </c>
      <c r="F45" s="25" t="n"/>
      <c r="G45" s="26" t="n"/>
      <c r="H45" s="25" t="n"/>
      <c r="I45" s="27" t="n"/>
      <c r="J45" s="26" t="n"/>
      <c r="K45" s="9" t="n"/>
      <c r="L45" s="22">
        <f>IF(B45="","",IF(J45="Cerrado","Cerrado",IF(OR(J45="",J45="Sin seguimiento"),"Sin seguimiento",IF(K45="","Sin fecha",IF(K45&lt;Panel!$C$10,"Vencida",IF(K45-Panel!$C$10&lt;=Panel!$C$13,"Próxima","Programada"))))))</f>
        <v/>
      </c>
      <c r="M45" s="23">
        <f>IF(OR(B45="",K45="",J45="Cerrado"),"",K45-Panel!$C$10)</f>
        <v/>
      </c>
      <c r="N45" s="23">
        <f>IF(C45="","",COUNTIF($C$7:C45,C45))</f>
        <v/>
      </c>
      <c r="O45" s="28">
        <f>IF(OR(B45="",K45="",AND(J45&lt;&gt;"Pendiente",J45&lt;&gt;"En curso")),"",K45+ROW()/100000)</f>
        <v/>
      </c>
    </row>
    <row r="46" ht="30" customHeight="1">
      <c r="B46" s="9" t="n"/>
      <c r="C46" s="25" t="n"/>
      <c r="D46" s="22">
        <f>IF(C46="","",IFERROR(VLOOKUP(C46,Alumnos!$B$7:$C$36,2,FALSE),""))</f>
        <v/>
      </c>
      <c r="E46" s="22">
        <f>IF(B46="","",IF(B46&gt;=Panel!$C$12,"3.º",IF(B46&gt;=Panel!$C$11,"2.º","1.º")))</f>
        <v/>
      </c>
      <c r="F46" s="25" t="n"/>
      <c r="G46" s="26" t="n"/>
      <c r="H46" s="25" t="n"/>
      <c r="I46" s="27" t="n"/>
      <c r="J46" s="26" t="n"/>
      <c r="K46" s="9" t="n"/>
      <c r="L46" s="22">
        <f>IF(B46="","",IF(J46="Cerrado","Cerrado",IF(OR(J46="",J46="Sin seguimiento"),"Sin seguimiento",IF(K46="","Sin fecha",IF(K46&lt;Panel!$C$10,"Vencida",IF(K46-Panel!$C$10&lt;=Panel!$C$13,"Próxima","Programada"))))))</f>
        <v/>
      </c>
      <c r="M46" s="23">
        <f>IF(OR(B46="",K46="",J46="Cerrado"),"",K46-Panel!$C$10)</f>
        <v/>
      </c>
      <c r="N46" s="23">
        <f>IF(C46="","",COUNTIF($C$7:C46,C46))</f>
        <v/>
      </c>
      <c r="O46" s="28">
        <f>IF(OR(B46="",K46="",AND(J46&lt;&gt;"Pendiente",J46&lt;&gt;"En curso")),"",K46+ROW()/100000)</f>
        <v/>
      </c>
    </row>
    <row r="48">
      <c r="B48" s="10" t="inlineStr">
        <is>
          <t>Hasta la fila 46. «Orden aux.» sirve para ordenar las próximas citas en el Panel: no la modifiques.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O3"/>
    <mergeCell ref="B2:O2"/>
  </mergeCells>
  <conditionalFormatting sqref="L7:L46">
    <cfRule type="cellIs" priority="1" operator="equal" dxfId="0">
      <formula>"Vencida"</formula>
    </cfRule>
    <cfRule type="cellIs" priority="2" operator="equal" dxfId="1">
      <formula>"Próxima"</formula>
    </cfRule>
    <cfRule type="cellIs" priority="3" operator="equal" dxfId="2">
      <formula>"Cerrado"</formula>
    </cfRule>
  </conditionalFormatting>
  <conditionalFormatting sqref="J7:J46">
    <cfRule type="cellIs" priority="4" operator="equal" dxfId="1">
      <formula>"Pendiente"</formula>
    </cfRule>
  </conditionalFormatting>
  <dataValidations count="5">
    <dataValidation sqref="C7:C46" showDropDown="0" showInputMessage="0" showErrorMessage="0" allowBlank="1" type="list">
      <formula1>=Alumnos!$B$7:$B$36</formula1>
    </dataValidation>
    <dataValidation sqref="F7:F46" showDropDown="0" showInputMessage="0" showErrorMessage="0" allowBlank="1" type="list">
      <formula1>=Listas!$A$2:$A$6</formula1>
    </dataValidation>
    <dataValidation sqref="G7:G46" showDropDown="0" showInputMessage="0" showErrorMessage="0" allowBlank="1" type="list">
      <formula1>=Listas!$D$2:$D$4</formula1>
    </dataValidation>
    <dataValidation sqref="H7:H46" showDropDown="0" showInputMessage="0" showErrorMessage="0" allowBlank="1" type="list">
      <formula1>=Listas!$B$2:$B$8</formula1>
    </dataValidation>
    <dataValidation sqref="J7:J46" showDropDown="0" showInputMessage="0" showErrorMessage="0" allowBlank="1" type="list">
      <formula1>=Listas!$C$2:$C$5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12744A"/>
    <outlinePr summaryBelow="1" summaryRight="1"/>
    <pageSetUpPr fitToPage="1"/>
  </sheetPr>
  <dimension ref="B2:K39"/>
  <sheetViews>
    <sheetView showGridLines="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28" customWidth="1" min="2" max="2"/>
    <col width="13" customWidth="1" min="3" max="3"/>
    <col width="11" customWidth="1" min="4" max="4"/>
    <col width="8" customWidth="1" min="5" max="5"/>
    <col width="8" customWidth="1" min="6" max="6"/>
    <col width="8" customWidth="1" min="7" max="7"/>
    <col width="15" customWidth="1" min="8" max="8"/>
    <col width="13" customWidth="1" min="9" max="9"/>
    <col width="24" customWidth="1" min="10" max="10"/>
    <col width="18" customWidth="1" min="11" max="11"/>
  </cols>
  <sheetData>
    <row r="2" ht="34" customHeight="1">
      <c r="B2" s="1" t="inlineStr">
        <is>
          <t>Alumnado y recuento de tutorías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</row>
    <row r="3">
      <c r="B3" s="3" t="inlineStr">
        <is>
          <t>Escribe aquí tu lista de alumnos; el recuento por trimestre y los avisos se calculan solos.</t>
        </is>
      </c>
    </row>
    <row r="6" ht="32" customHeight="1">
      <c r="B6" s="13" t="inlineStr">
        <is>
          <t>Alumno/a</t>
        </is>
      </c>
      <c r="C6" s="13" t="inlineStr">
        <is>
          <t>Grupo</t>
        </is>
      </c>
      <c r="D6" s="13" t="inlineStr">
        <is>
          <t>Tutorías</t>
        </is>
      </c>
      <c r="E6" s="13" t="inlineStr">
        <is>
          <t>1.º trim.</t>
        </is>
      </c>
      <c r="F6" s="13" t="inlineStr">
        <is>
          <t>2.º trim.</t>
        </is>
      </c>
      <c r="G6" s="13" t="inlineStr">
        <is>
          <t>3.º trim.</t>
        </is>
      </c>
      <c r="H6" s="13" t="inlineStr">
        <is>
          <t>Última tutoría</t>
        </is>
      </c>
      <c r="I6" s="13" t="inlineStr">
        <is>
          <t>Seguimientos abiertos</t>
        </is>
      </c>
      <c r="J6" s="13" t="inlineStr">
        <is>
          <t>Aviso</t>
        </is>
      </c>
      <c r="K6" s="13" t="inlineStr">
        <is>
          <t>Contacto preferido</t>
        </is>
      </c>
    </row>
    <row r="7">
      <c r="B7" s="25" t="inlineStr">
        <is>
          <t>Lucía Martín Gómez</t>
        </is>
      </c>
      <c r="C7" s="26" t="inlineStr">
        <is>
          <t>2.º ESO A</t>
        </is>
      </c>
      <c r="D7" s="15">
        <f>IF(B7="","",COUNTIF('Tutorías'!$C$7:$C$46,B7))</f>
        <v/>
      </c>
      <c r="E7" s="15">
        <f>IF(B7="","",COUNTIFS('Tutorías'!$C$7:$C$46,B7,'Tutorías'!$E$7:$E$46,"1.º"))</f>
        <v/>
      </c>
      <c r="F7" s="15">
        <f>IF(B7="","",COUNTIFS('Tutorías'!$C$7:$C$46,B7,'Tutorías'!$E$7:$E$46,"2.º"))</f>
        <v/>
      </c>
      <c r="G7" s="15">
        <f>IF(B7="","",COUNTIFS('Tutorías'!$C$7:$C$46,B7,'Tutorías'!$E$7:$E$46,"3.º"))</f>
        <v/>
      </c>
      <c r="H7" s="21">
        <f>IF(B7="","",IF(D7=0,"",SUMPRODUCT(MAX(('Tutorías'!$C$7:$C$46=B7)*'Tutorías'!$B$7:$B$46))))</f>
        <v/>
      </c>
      <c r="I7" s="15">
        <f>IF(B7="","",COUNTIFS('Tutorías'!$C$7:$C$46,B7,'Tutorías'!$J$7:$J$46,"Pendiente")+COUNTIFS('Tutorías'!$C$7:$C$46,B7,'Tutorías'!$J$7:$J$46,"En curso"))</f>
        <v/>
      </c>
      <c r="J7" s="22">
        <f>IF(B7="","",IF(D7=0,"Sin tutorías",IF(Panel!$C$10-H7&gt;Panel!$C$14,"Sin contacto reciente","Al día")))</f>
        <v/>
      </c>
      <c r="K7" s="26" t="inlineStr">
        <is>
          <t>Correo</t>
        </is>
      </c>
    </row>
    <row r="8">
      <c r="B8" s="25" t="inlineStr">
        <is>
          <t>Pablo Ortega Ruiz</t>
        </is>
      </c>
      <c r="C8" s="26" t="inlineStr">
        <is>
          <t>2.º ESO A</t>
        </is>
      </c>
      <c r="D8" s="15">
        <f>IF(B8="","",COUNTIF('Tutorías'!$C$7:$C$46,B8))</f>
        <v/>
      </c>
      <c r="E8" s="15">
        <f>IF(B8="","",COUNTIFS('Tutorías'!$C$7:$C$46,B8,'Tutorías'!$E$7:$E$46,"1.º"))</f>
        <v/>
      </c>
      <c r="F8" s="15">
        <f>IF(B8="","",COUNTIFS('Tutorías'!$C$7:$C$46,B8,'Tutorías'!$E$7:$E$46,"2.º"))</f>
        <v/>
      </c>
      <c r="G8" s="15">
        <f>IF(B8="","",COUNTIFS('Tutorías'!$C$7:$C$46,B8,'Tutorías'!$E$7:$E$46,"3.º"))</f>
        <v/>
      </c>
      <c r="H8" s="21">
        <f>IF(B8="","",IF(D8=0,"",SUMPRODUCT(MAX(('Tutorías'!$C$7:$C$46=B8)*'Tutorías'!$B$7:$B$46))))</f>
        <v/>
      </c>
      <c r="I8" s="15">
        <f>IF(B8="","",COUNTIFS('Tutorías'!$C$7:$C$46,B8,'Tutorías'!$J$7:$J$46,"Pendiente")+COUNTIFS('Tutorías'!$C$7:$C$46,B8,'Tutorías'!$J$7:$J$46,"En curso"))</f>
        <v/>
      </c>
      <c r="J8" s="22">
        <f>IF(B8="","",IF(D8=0,"Sin tutorías",IF(Panel!$C$10-H8&gt;Panel!$C$14,"Sin contacto reciente","Al día")))</f>
        <v/>
      </c>
      <c r="K8" s="26" t="inlineStr">
        <is>
          <t>Teléfono</t>
        </is>
      </c>
    </row>
    <row r="9">
      <c r="B9" s="25" t="inlineStr">
        <is>
          <t>Carmen Soler Vidal</t>
        </is>
      </c>
      <c r="C9" s="26" t="inlineStr">
        <is>
          <t>2.º ESO A</t>
        </is>
      </c>
      <c r="D9" s="15">
        <f>IF(B9="","",COUNTIF('Tutorías'!$C$7:$C$46,B9))</f>
        <v/>
      </c>
      <c r="E9" s="15">
        <f>IF(B9="","",COUNTIFS('Tutorías'!$C$7:$C$46,B9,'Tutorías'!$E$7:$E$46,"1.º"))</f>
        <v/>
      </c>
      <c r="F9" s="15">
        <f>IF(B9="","",COUNTIFS('Tutorías'!$C$7:$C$46,B9,'Tutorías'!$E$7:$E$46,"2.º"))</f>
        <v/>
      </c>
      <c r="G9" s="15">
        <f>IF(B9="","",COUNTIFS('Tutorías'!$C$7:$C$46,B9,'Tutorías'!$E$7:$E$46,"3.º"))</f>
        <v/>
      </c>
      <c r="H9" s="21">
        <f>IF(B9="","",IF(D9=0,"",SUMPRODUCT(MAX(('Tutorías'!$C$7:$C$46=B9)*'Tutorías'!$B$7:$B$46))))</f>
        <v/>
      </c>
      <c r="I9" s="15">
        <f>IF(B9="","",COUNTIFS('Tutorías'!$C$7:$C$46,B9,'Tutorías'!$J$7:$J$46,"Pendiente")+COUNTIFS('Tutorías'!$C$7:$C$46,B9,'Tutorías'!$J$7:$J$46,"En curso"))</f>
        <v/>
      </c>
      <c r="J9" s="22">
        <f>IF(B9="","",IF(D9=0,"Sin tutorías",IF(Panel!$C$10-H9&gt;Panel!$C$14,"Sin contacto reciente","Al día")))</f>
        <v/>
      </c>
      <c r="K9" s="26" t="inlineStr">
        <is>
          <t>Agenda escolar</t>
        </is>
      </c>
    </row>
    <row r="10">
      <c r="B10" s="25" t="inlineStr">
        <is>
          <t>Hugo Navarro Lara</t>
        </is>
      </c>
      <c r="C10" s="26" t="inlineStr">
        <is>
          <t>2.º ESO A</t>
        </is>
      </c>
      <c r="D10" s="15">
        <f>IF(B10="","",COUNTIF('Tutorías'!$C$7:$C$46,B10))</f>
        <v/>
      </c>
      <c r="E10" s="15">
        <f>IF(B10="","",COUNTIFS('Tutorías'!$C$7:$C$46,B10,'Tutorías'!$E$7:$E$46,"1.º"))</f>
        <v/>
      </c>
      <c r="F10" s="15">
        <f>IF(B10="","",COUNTIFS('Tutorías'!$C$7:$C$46,B10,'Tutorías'!$E$7:$E$46,"2.º"))</f>
        <v/>
      </c>
      <c r="G10" s="15">
        <f>IF(B10="","",COUNTIFS('Tutorías'!$C$7:$C$46,B10,'Tutorías'!$E$7:$E$46,"3.º"))</f>
        <v/>
      </c>
      <c r="H10" s="21">
        <f>IF(B10="","",IF(D10=0,"",SUMPRODUCT(MAX(('Tutorías'!$C$7:$C$46=B10)*'Tutorías'!$B$7:$B$46))))</f>
        <v/>
      </c>
      <c r="I10" s="15">
        <f>IF(B10="","",COUNTIFS('Tutorías'!$C$7:$C$46,B10,'Tutorías'!$J$7:$J$46,"Pendiente")+COUNTIFS('Tutorías'!$C$7:$C$46,B10,'Tutorías'!$J$7:$J$46,"En curso"))</f>
        <v/>
      </c>
      <c r="J10" s="22">
        <f>IF(B10="","",IF(D10=0,"Sin tutorías",IF(Panel!$C$10-H10&gt;Panel!$C$14,"Sin contacto reciente","Al día")))</f>
        <v/>
      </c>
      <c r="K10" s="26" t="inlineStr">
        <is>
          <t>Correo</t>
        </is>
      </c>
    </row>
    <row r="11">
      <c r="B11" s="25" t="inlineStr">
        <is>
          <t>Marta Ibáñez Cruz</t>
        </is>
      </c>
      <c r="C11" s="26" t="inlineStr">
        <is>
          <t>2.º ESO A</t>
        </is>
      </c>
      <c r="D11" s="15">
        <f>IF(B11="","",COUNTIF('Tutorías'!$C$7:$C$46,B11))</f>
        <v/>
      </c>
      <c r="E11" s="15">
        <f>IF(B11="","",COUNTIFS('Tutorías'!$C$7:$C$46,B11,'Tutorías'!$E$7:$E$46,"1.º"))</f>
        <v/>
      </c>
      <c r="F11" s="15">
        <f>IF(B11="","",COUNTIFS('Tutorías'!$C$7:$C$46,B11,'Tutorías'!$E$7:$E$46,"2.º"))</f>
        <v/>
      </c>
      <c r="G11" s="15">
        <f>IF(B11="","",COUNTIFS('Tutorías'!$C$7:$C$46,B11,'Tutorías'!$E$7:$E$46,"3.º"))</f>
        <v/>
      </c>
      <c r="H11" s="21">
        <f>IF(B11="","",IF(D11=0,"",SUMPRODUCT(MAX(('Tutorías'!$C$7:$C$46=B11)*'Tutorías'!$B$7:$B$46))))</f>
        <v/>
      </c>
      <c r="I11" s="15">
        <f>IF(B11="","",COUNTIFS('Tutorías'!$C$7:$C$46,B11,'Tutorías'!$J$7:$J$46,"Pendiente")+COUNTIFS('Tutorías'!$C$7:$C$46,B11,'Tutorías'!$J$7:$J$46,"En curso"))</f>
        <v/>
      </c>
      <c r="J11" s="22">
        <f>IF(B11="","",IF(D11=0,"Sin tutorías",IF(Panel!$C$10-H11&gt;Panel!$C$14,"Sin contacto reciente","Al día")))</f>
        <v/>
      </c>
      <c r="K11" s="26" t="inlineStr">
        <is>
          <t>Teléfono</t>
        </is>
      </c>
    </row>
    <row r="12">
      <c r="B12" s="25" t="inlineStr">
        <is>
          <t>Daniel Rubio Pardo</t>
        </is>
      </c>
      <c r="C12" s="26" t="inlineStr">
        <is>
          <t>2.º ESO A</t>
        </is>
      </c>
      <c r="D12" s="15">
        <f>IF(B12="","",COUNTIF('Tutorías'!$C$7:$C$46,B12))</f>
        <v/>
      </c>
      <c r="E12" s="15">
        <f>IF(B12="","",COUNTIFS('Tutorías'!$C$7:$C$46,B12,'Tutorías'!$E$7:$E$46,"1.º"))</f>
        <v/>
      </c>
      <c r="F12" s="15">
        <f>IF(B12="","",COUNTIFS('Tutorías'!$C$7:$C$46,B12,'Tutorías'!$E$7:$E$46,"2.º"))</f>
        <v/>
      </c>
      <c r="G12" s="15">
        <f>IF(B12="","",COUNTIFS('Tutorías'!$C$7:$C$46,B12,'Tutorías'!$E$7:$E$46,"3.º"))</f>
        <v/>
      </c>
      <c r="H12" s="21">
        <f>IF(B12="","",IF(D12=0,"",SUMPRODUCT(MAX(('Tutorías'!$C$7:$C$46=B12)*'Tutorías'!$B$7:$B$46))))</f>
        <v/>
      </c>
      <c r="I12" s="15">
        <f>IF(B12="","",COUNTIFS('Tutorías'!$C$7:$C$46,B12,'Tutorías'!$J$7:$J$46,"Pendiente")+COUNTIFS('Tutorías'!$C$7:$C$46,B12,'Tutorías'!$J$7:$J$46,"En curso"))</f>
        <v/>
      </c>
      <c r="J12" s="22">
        <f>IF(B12="","",IF(D12=0,"Sin tutorías",IF(Panel!$C$10-H12&gt;Panel!$C$14,"Sin contacto reciente","Al día")))</f>
        <v/>
      </c>
      <c r="K12" s="26" t="inlineStr">
        <is>
          <t>Teléfono</t>
        </is>
      </c>
    </row>
    <row r="13">
      <c r="B13" s="25" t="inlineStr">
        <is>
          <t>Sofía Campos Gil</t>
        </is>
      </c>
      <c r="C13" s="26" t="inlineStr">
        <is>
          <t>2.º ESO A</t>
        </is>
      </c>
      <c r="D13" s="15">
        <f>IF(B13="","",COUNTIF('Tutorías'!$C$7:$C$46,B13))</f>
        <v/>
      </c>
      <c r="E13" s="15">
        <f>IF(B13="","",COUNTIFS('Tutorías'!$C$7:$C$46,B13,'Tutorías'!$E$7:$E$46,"1.º"))</f>
        <v/>
      </c>
      <c r="F13" s="15">
        <f>IF(B13="","",COUNTIFS('Tutorías'!$C$7:$C$46,B13,'Tutorías'!$E$7:$E$46,"2.º"))</f>
        <v/>
      </c>
      <c r="G13" s="15">
        <f>IF(B13="","",COUNTIFS('Tutorías'!$C$7:$C$46,B13,'Tutorías'!$E$7:$E$46,"3.º"))</f>
        <v/>
      </c>
      <c r="H13" s="21">
        <f>IF(B13="","",IF(D13=0,"",SUMPRODUCT(MAX(('Tutorías'!$C$7:$C$46=B13)*'Tutorías'!$B$7:$B$46))))</f>
        <v/>
      </c>
      <c r="I13" s="15">
        <f>IF(B13="","",COUNTIFS('Tutorías'!$C$7:$C$46,B13,'Tutorías'!$J$7:$J$46,"Pendiente")+COUNTIFS('Tutorías'!$C$7:$C$46,B13,'Tutorías'!$J$7:$J$46,"En curso"))</f>
        <v/>
      </c>
      <c r="J13" s="22">
        <f>IF(B13="","",IF(D13=0,"Sin tutorías",IF(Panel!$C$10-H13&gt;Panel!$C$14,"Sin contacto reciente","Al día")))</f>
        <v/>
      </c>
      <c r="K13" s="26" t="inlineStr">
        <is>
          <t>Correo</t>
        </is>
      </c>
    </row>
    <row r="14">
      <c r="B14" s="25" t="inlineStr">
        <is>
          <t>Álvaro Herrero Sanz</t>
        </is>
      </c>
      <c r="C14" s="26" t="inlineStr">
        <is>
          <t>2.º ESO A</t>
        </is>
      </c>
      <c r="D14" s="15">
        <f>IF(B14="","",COUNTIF('Tutorías'!$C$7:$C$46,B14))</f>
        <v/>
      </c>
      <c r="E14" s="15">
        <f>IF(B14="","",COUNTIFS('Tutorías'!$C$7:$C$46,B14,'Tutorías'!$E$7:$E$46,"1.º"))</f>
        <v/>
      </c>
      <c r="F14" s="15">
        <f>IF(B14="","",COUNTIFS('Tutorías'!$C$7:$C$46,B14,'Tutorías'!$E$7:$E$46,"2.º"))</f>
        <v/>
      </c>
      <c r="G14" s="15">
        <f>IF(B14="","",COUNTIFS('Tutorías'!$C$7:$C$46,B14,'Tutorías'!$E$7:$E$46,"3.º"))</f>
        <v/>
      </c>
      <c r="H14" s="21">
        <f>IF(B14="","",IF(D14=0,"",SUMPRODUCT(MAX(('Tutorías'!$C$7:$C$46=B14)*'Tutorías'!$B$7:$B$46))))</f>
        <v/>
      </c>
      <c r="I14" s="15">
        <f>IF(B14="","",COUNTIFS('Tutorías'!$C$7:$C$46,B14,'Tutorías'!$J$7:$J$46,"Pendiente")+COUNTIFS('Tutorías'!$C$7:$C$46,B14,'Tutorías'!$J$7:$J$46,"En curso"))</f>
        <v/>
      </c>
      <c r="J14" s="22">
        <f>IF(B14="","",IF(D14=0,"Sin tutorías",IF(Panel!$C$10-H14&gt;Panel!$C$14,"Sin contacto reciente","Al día")))</f>
        <v/>
      </c>
      <c r="K14" s="26" t="inlineStr">
        <is>
          <t>Teléfono</t>
        </is>
      </c>
    </row>
    <row r="15">
      <c r="B15" s="25" t="inlineStr">
        <is>
          <t>Noa Prieto Vega</t>
        </is>
      </c>
      <c r="C15" s="26" t="inlineStr">
        <is>
          <t>2.º ESO B</t>
        </is>
      </c>
      <c r="D15" s="15">
        <f>IF(B15="","",COUNTIF('Tutorías'!$C$7:$C$46,B15))</f>
        <v/>
      </c>
      <c r="E15" s="15">
        <f>IF(B15="","",COUNTIFS('Tutorías'!$C$7:$C$46,B15,'Tutorías'!$E$7:$E$46,"1.º"))</f>
        <v/>
      </c>
      <c r="F15" s="15">
        <f>IF(B15="","",COUNTIFS('Tutorías'!$C$7:$C$46,B15,'Tutorías'!$E$7:$E$46,"2.º"))</f>
        <v/>
      </c>
      <c r="G15" s="15">
        <f>IF(B15="","",COUNTIFS('Tutorías'!$C$7:$C$46,B15,'Tutorías'!$E$7:$E$46,"3.º"))</f>
        <v/>
      </c>
      <c r="H15" s="21">
        <f>IF(B15="","",IF(D15=0,"",SUMPRODUCT(MAX(('Tutorías'!$C$7:$C$46=B15)*'Tutorías'!$B$7:$B$46))))</f>
        <v/>
      </c>
      <c r="I15" s="15">
        <f>IF(B15="","",COUNTIFS('Tutorías'!$C$7:$C$46,B15,'Tutorías'!$J$7:$J$46,"Pendiente")+COUNTIFS('Tutorías'!$C$7:$C$46,B15,'Tutorías'!$J$7:$J$46,"En curso"))</f>
        <v/>
      </c>
      <c r="J15" s="22">
        <f>IF(B15="","",IF(D15=0,"Sin tutorías",IF(Panel!$C$10-H15&gt;Panel!$C$14,"Sin contacto reciente","Al día")))</f>
        <v/>
      </c>
      <c r="K15" s="26" t="inlineStr">
        <is>
          <t>Correo</t>
        </is>
      </c>
    </row>
    <row r="16">
      <c r="B16" s="25" t="inlineStr">
        <is>
          <t>Mateo Cano Ríos</t>
        </is>
      </c>
      <c r="C16" s="26" t="inlineStr">
        <is>
          <t>2.º ESO B</t>
        </is>
      </c>
      <c r="D16" s="15">
        <f>IF(B16="","",COUNTIF('Tutorías'!$C$7:$C$46,B16))</f>
        <v/>
      </c>
      <c r="E16" s="15">
        <f>IF(B16="","",COUNTIFS('Tutorías'!$C$7:$C$46,B16,'Tutorías'!$E$7:$E$46,"1.º"))</f>
        <v/>
      </c>
      <c r="F16" s="15">
        <f>IF(B16="","",COUNTIFS('Tutorías'!$C$7:$C$46,B16,'Tutorías'!$E$7:$E$46,"2.º"))</f>
        <v/>
      </c>
      <c r="G16" s="15">
        <f>IF(B16="","",COUNTIFS('Tutorías'!$C$7:$C$46,B16,'Tutorías'!$E$7:$E$46,"3.º"))</f>
        <v/>
      </c>
      <c r="H16" s="21">
        <f>IF(B16="","",IF(D16=0,"",SUMPRODUCT(MAX(('Tutorías'!$C$7:$C$46=B16)*'Tutorías'!$B$7:$B$46))))</f>
        <v/>
      </c>
      <c r="I16" s="15">
        <f>IF(B16="","",COUNTIFS('Tutorías'!$C$7:$C$46,B16,'Tutorías'!$J$7:$J$46,"Pendiente")+COUNTIFS('Tutorías'!$C$7:$C$46,B16,'Tutorías'!$J$7:$J$46,"En curso"))</f>
        <v/>
      </c>
      <c r="J16" s="22">
        <f>IF(B16="","",IF(D16=0,"Sin tutorías",IF(Panel!$C$10-H16&gt;Panel!$C$14,"Sin contacto reciente","Al día")))</f>
        <v/>
      </c>
      <c r="K16" s="26" t="inlineStr">
        <is>
          <t>Teléfono</t>
        </is>
      </c>
    </row>
    <row r="17">
      <c r="B17" s="25" t="inlineStr">
        <is>
          <t>Irene Salas Mora</t>
        </is>
      </c>
      <c r="C17" s="26" t="inlineStr">
        <is>
          <t>2.º ESO B</t>
        </is>
      </c>
      <c r="D17" s="15">
        <f>IF(B17="","",COUNTIF('Tutorías'!$C$7:$C$46,B17))</f>
        <v/>
      </c>
      <c r="E17" s="15">
        <f>IF(B17="","",COUNTIFS('Tutorías'!$C$7:$C$46,B17,'Tutorías'!$E$7:$E$46,"1.º"))</f>
        <v/>
      </c>
      <c r="F17" s="15">
        <f>IF(B17="","",COUNTIFS('Tutorías'!$C$7:$C$46,B17,'Tutorías'!$E$7:$E$46,"2.º"))</f>
        <v/>
      </c>
      <c r="G17" s="15">
        <f>IF(B17="","",COUNTIFS('Tutorías'!$C$7:$C$46,B17,'Tutorías'!$E$7:$E$46,"3.º"))</f>
        <v/>
      </c>
      <c r="H17" s="21">
        <f>IF(B17="","",IF(D17=0,"",SUMPRODUCT(MAX(('Tutorías'!$C$7:$C$46=B17)*'Tutorías'!$B$7:$B$46))))</f>
        <v/>
      </c>
      <c r="I17" s="15">
        <f>IF(B17="","",COUNTIFS('Tutorías'!$C$7:$C$46,B17,'Tutorías'!$J$7:$J$46,"Pendiente")+COUNTIFS('Tutorías'!$C$7:$C$46,B17,'Tutorías'!$J$7:$J$46,"En curso"))</f>
        <v/>
      </c>
      <c r="J17" s="22">
        <f>IF(B17="","",IF(D17=0,"Sin tutorías",IF(Panel!$C$10-H17&gt;Panel!$C$14,"Sin contacto reciente","Al día")))</f>
        <v/>
      </c>
      <c r="K17" s="26" t="inlineStr">
        <is>
          <t>Agenda escolar</t>
        </is>
      </c>
    </row>
    <row r="18">
      <c r="B18" s="25" t="inlineStr">
        <is>
          <t>Adrián Lozano Peña</t>
        </is>
      </c>
      <c r="C18" s="26" t="inlineStr">
        <is>
          <t>2.º ESO B</t>
        </is>
      </c>
      <c r="D18" s="15">
        <f>IF(B18="","",COUNTIF('Tutorías'!$C$7:$C$46,B18))</f>
        <v/>
      </c>
      <c r="E18" s="15">
        <f>IF(B18="","",COUNTIFS('Tutorías'!$C$7:$C$46,B18,'Tutorías'!$E$7:$E$46,"1.º"))</f>
        <v/>
      </c>
      <c r="F18" s="15">
        <f>IF(B18="","",COUNTIFS('Tutorías'!$C$7:$C$46,B18,'Tutorías'!$E$7:$E$46,"2.º"))</f>
        <v/>
      </c>
      <c r="G18" s="15">
        <f>IF(B18="","",COUNTIFS('Tutorías'!$C$7:$C$46,B18,'Tutorías'!$E$7:$E$46,"3.º"))</f>
        <v/>
      </c>
      <c r="H18" s="21">
        <f>IF(B18="","",IF(D18=0,"",SUMPRODUCT(MAX(('Tutorías'!$C$7:$C$46=B18)*'Tutorías'!$B$7:$B$46))))</f>
        <v/>
      </c>
      <c r="I18" s="15">
        <f>IF(B18="","",COUNTIFS('Tutorías'!$C$7:$C$46,B18,'Tutorías'!$J$7:$J$46,"Pendiente")+COUNTIFS('Tutorías'!$C$7:$C$46,B18,'Tutorías'!$J$7:$J$46,"En curso"))</f>
        <v/>
      </c>
      <c r="J18" s="22">
        <f>IF(B18="","",IF(D18=0,"Sin tutorías",IF(Panel!$C$10-H18&gt;Panel!$C$14,"Sin contacto reciente","Al día")))</f>
        <v/>
      </c>
      <c r="K18" s="26" t="inlineStr">
        <is>
          <t>Correo</t>
        </is>
      </c>
    </row>
    <row r="19">
      <c r="B19" s="25" t="n"/>
      <c r="C19" s="26" t="n"/>
      <c r="D19" s="15">
        <f>IF(B19="","",COUNTIF('Tutorías'!$C$7:$C$46,B19))</f>
        <v/>
      </c>
      <c r="E19" s="15">
        <f>IF(B19="","",COUNTIFS('Tutorías'!$C$7:$C$46,B19,'Tutorías'!$E$7:$E$46,"1.º"))</f>
        <v/>
      </c>
      <c r="F19" s="15">
        <f>IF(B19="","",COUNTIFS('Tutorías'!$C$7:$C$46,B19,'Tutorías'!$E$7:$E$46,"2.º"))</f>
        <v/>
      </c>
      <c r="G19" s="15">
        <f>IF(B19="","",COUNTIFS('Tutorías'!$C$7:$C$46,B19,'Tutorías'!$E$7:$E$46,"3.º"))</f>
        <v/>
      </c>
      <c r="H19" s="21">
        <f>IF(B19="","",IF(D19=0,"",SUMPRODUCT(MAX(('Tutorías'!$C$7:$C$46=B19)*'Tutorías'!$B$7:$B$46))))</f>
        <v/>
      </c>
      <c r="I19" s="15">
        <f>IF(B19="","",COUNTIFS('Tutorías'!$C$7:$C$46,B19,'Tutorías'!$J$7:$J$46,"Pendiente")+COUNTIFS('Tutorías'!$C$7:$C$46,B19,'Tutorías'!$J$7:$J$46,"En curso"))</f>
        <v/>
      </c>
      <c r="J19" s="22">
        <f>IF(B19="","",IF(D19=0,"Sin tutorías",IF(Panel!$C$10-H19&gt;Panel!$C$14,"Sin contacto reciente","Al día")))</f>
        <v/>
      </c>
      <c r="K19" s="26" t="n"/>
    </row>
    <row r="20">
      <c r="B20" s="25" t="n"/>
      <c r="C20" s="26" t="n"/>
      <c r="D20" s="15">
        <f>IF(B20="","",COUNTIF('Tutorías'!$C$7:$C$46,B20))</f>
        <v/>
      </c>
      <c r="E20" s="15">
        <f>IF(B20="","",COUNTIFS('Tutorías'!$C$7:$C$46,B20,'Tutorías'!$E$7:$E$46,"1.º"))</f>
        <v/>
      </c>
      <c r="F20" s="15">
        <f>IF(B20="","",COUNTIFS('Tutorías'!$C$7:$C$46,B20,'Tutorías'!$E$7:$E$46,"2.º"))</f>
        <v/>
      </c>
      <c r="G20" s="15">
        <f>IF(B20="","",COUNTIFS('Tutorías'!$C$7:$C$46,B20,'Tutorías'!$E$7:$E$46,"3.º"))</f>
        <v/>
      </c>
      <c r="H20" s="21">
        <f>IF(B20="","",IF(D20=0,"",SUMPRODUCT(MAX(('Tutorías'!$C$7:$C$46=B20)*'Tutorías'!$B$7:$B$46))))</f>
        <v/>
      </c>
      <c r="I20" s="15">
        <f>IF(B20="","",COUNTIFS('Tutorías'!$C$7:$C$46,B20,'Tutorías'!$J$7:$J$46,"Pendiente")+COUNTIFS('Tutorías'!$C$7:$C$46,B20,'Tutorías'!$J$7:$J$46,"En curso"))</f>
        <v/>
      </c>
      <c r="J20" s="22">
        <f>IF(B20="","",IF(D20=0,"Sin tutorías",IF(Panel!$C$10-H20&gt;Panel!$C$14,"Sin contacto reciente","Al día")))</f>
        <v/>
      </c>
      <c r="K20" s="26" t="n"/>
    </row>
    <row r="21">
      <c r="B21" s="25" t="n"/>
      <c r="C21" s="26" t="n"/>
      <c r="D21" s="15">
        <f>IF(B21="","",COUNTIF('Tutorías'!$C$7:$C$46,B21))</f>
        <v/>
      </c>
      <c r="E21" s="15">
        <f>IF(B21="","",COUNTIFS('Tutorías'!$C$7:$C$46,B21,'Tutorías'!$E$7:$E$46,"1.º"))</f>
        <v/>
      </c>
      <c r="F21" s="15">
        <f>IF(B21="","",COUNTIFS('Tutorías'!$C$7:$C$46,B21,'Tutorías'!$E$7:$E$46,"2.º"))</f>
        <v/>
      </c>
      <c r="G21" s="15">
        <f>IF(B21="","",COUNTIFS('Tutorías'!$C$7:$C$46,B21,'Tutorías'!$E$7:$E$46,"3.º"))</f>
        <v/>
      </c>
      <c r="H21" s="21">
        <f>IF(B21="","",IF(D21=0,"",SUMPRODUCT(MAX(('Tutorías'!$C$7:$C$46=B21)*'Tutorías'!$B$7:$B$46))))</f>
        <v/>
      </c>
      <c r="I21" s="15">
        <f>IF(B21="","",COUNTIFS('Tutorías'!$C$7:$C$46,B21,'Tutorías'!$J$7:$J$46,"Pendiente")+COUNTIFS('Tutorías'!$C$7:$C$46,B21,'Tutorías'!$J$7:$J$46,"En curso"))</f>
        <v/>
      </c>
      <c r="J21" s="22">
        <f>IF(B21="","",IF(D21=0,"Sin tutorías",IF(Panel!$C$10-H21&gt;Panel!$C$14,"Sin contacto reciente","Al día")))</f>
        <v/>
      </c>
      <c r="K21" s="26" t="n"/>
    </row>
    <row r="22">
      <c r="B22" s="25" t="n"/>
      <c r="C22" s="26" t="n"/>
      <c r="D22" s="15">
        <f>IF(B22="","",COUNTIF('Tutorías'!$C$7:$C$46,B22))</f>
        <v/>
      </c>
      <c r="E22" s="15">
        <f>IF(B22="","",COUNTIFS('Tutorías'!$C$7:$C$46,B22,'Tutorías'!$E$7:$E$46,"1.º"))</f>
        <v/>
      </c>
      <c r="F22" s="15">
        <f>IF(B22="","",COUNTIFS('Tutorías'!$C$7:$C$46,B22,'Tutorías'!$E$7:$E$46,"2.º"))</f>
        <v/>
      </c>
      <c r="G22" s="15">
        <f>IF(B22="","",COUNTIFS('Tutorías'!$C$7:$C$46,B22,'Tutorías'!$E$7:$E$46,"3.º"))</f>
        <v/>
      </c>
      <c r="H22" s="21">
        <f>IF(B22="","",IF(D22=0,"",SUMPRODUCT(MAX(('Tutorías'!$C$7:$C$46=B22)*'Tutorías'!$B$7:$B$46))))</f>
        <v/>
      </c>
      <c r="I22" s="15">
        <f>IF(B22="","",COUNTIFS('Tutorías'!$C$7:$C$46,B22,'Tutorías'!$J$7:$J$46,"Pendiente")+COUNTIFS('Tutorías'!$C$7:$C$46,B22,'Tutorías'!$J$7:$J$46,"En curso"))</f>
        <v/>
      </c>
      <c r="J22" s="22">
        <f>IF(B22="","",IF(D22=0,"Sin tutorías",IF(Panel!$C$10-H22&gt;Panel!$C$14,"Sin contacto reciente","Al día")))</f>
        <v/>
      </c>
      <c r="K22" s="26" t="n"/>
    </row>
    <row r="23">
      <c r="B23" s="25" t="n"/>
      <c r="C23" s="26" t="n"/>
      <c r="D23" s="15">
        <f>IF(B23="","",COUNTIF('Tutorías'!$C$7:$C$46,B23))</f>
        <v/>
      </c>
      <c r="E23" s="15">
        <f>IF(B23="","",COUNTIFS('Tutorías'!$C$7:$C$46,B23,'Tutorías'!$E$7:$E$46,"1.º"))</f>
        <v/>
      </c>
      <c r="F23" s="15">
        <f>IF(B23="","",COUNTIFS('Tutorías'!$C$7:$C$46,B23,'Tutorías'!$E$7:$E$46,"2.º"))</f>
        <v/>
      </c>
      <c r="G23" s="15">
        <f>IF(B23="","",COUNTIFS('Tutorías'!$C$7:$C$46,B23,'Tutorías'!$E$7:$E$46,"3.º"))</f>
        <v/>
      </c>
      <c r="H23" s="21">
        <f>IF(B23="","",IF(D23=0,"",SUMPRODUCT(MAX(('Tutorías'!$C$7:$C$46=B23)*'Tutorías'!$B$7:$B$46))))</f>
        <v/>
      </c>
      <c r="I23" s="15">
        <f>IF(B23="","",COUNTIFS('Tutorías'!$C$7:$C$46,B23,'Tutorías'!$J$7:$J$46,"Pendiente")+COUNTIFS('Tutorías'!$C$7:$C$46,B23,'Tutorías'!$J$7:$J$46,"En curso"))</f>
        <v/>
      </c>
      <c r="J23" s="22">
        <f>IF(B23="","",IF(D23=0,"Sin tutorías",IF(Panel!$C$10-H23&gt;Panel!$C$14,"Sin contacto reciente","Al día")))</f>
        <v/>
      </c>
      <c r="K23" s="26" t="n"/>
    </row>
    <row r="24">
      <c r="B24" s="25" t="n"/>
      <c r="C24" s="26" t="n"/>
      <c r="D24" s="15">
        <f>IF(B24="","",COUNTIF('Tutorías'!$C$7:$C$46,B24))</f>
        <v/>
      </c>
      <c r="E24" s="15">
        <f>IF(B24="","",COUNTIFS('Tutorías'!$C$7:$C$46,B24,'Tutorías'!$E$7:$E$46,"1.º"))</f>
        <v/>
      </c>
      <c r="F24" s="15">
        <f>IF(B24="","",COUNTIFS('Tutorías'!$C$7:$C$46,B24,'Tutorías'!$E$7:$E$46,"2.º"))</f>
        <v/>
      </c>
      <c r="G24" s="15">
        <f>IF(B24="","",COUNTIFS('Tutorías'!$C$7:$C$46,B24,'Tutorías'!$E$7:$E$46,"3.º"))</f>
        <v/>
      </c>
      <c r="H24" s="21">
        <f>IF(B24="","",IF(D24=0,"",SUMPRODUCT(MAX(('Tutorías'!$C$7:$C$46=B24)*'Tutorías'!$B$7:$B$46))))</f>
        <v/>
      </c>
      <c r="I24" s="15">
        <f>IF(B24="","",COUNTIFS('Tutorías'!$C$7:$C$46,B24,'Tutorías'!$J$7:$J$46,"Pendiente")+COUNTIFS('Tutorías'!$C$7:$C$46,B24,'Tutorías'!$J$7:$J$46,"En curso"))</f>
        <v/>
      </c>
      <c r="J24" s="22">
        <f>IF(B24="","",IF(D24=0,"Sin tutorías",IF(Panel!$C$10-H24&gt;Panel!$C$14,"Sin contacto reciente","Al día")))</f>
        <v/>
      </c>
      <c r="K24" s="26" t="n"/>
    </row>
    <row r="25">
      <c r="B25" s="25" t="n"/>
      <c r="C25" s="26" t="n"/>
      <c r="D25" s="15">
        <f>IF(B25="","",COUNTIF('Tutorías'!$C$7:$C$46,B25))</f>
        <v/>
      </c>
      <c r="E25" s="15">
        <f>IF(B25="","",COUNTIFS('Tutorías'!$C$7:$C$46,B25,'Tutorías'!$E$7:$E$46,"1.º"))</f>
        <v/>
      </c>
      <c r="F25" s="15">
        <f>IF(B25="","",COUNTIFS('Tutorías'!$C$7:$C$46,B25,'Tutorías'!$E$7:$E$46,"2.º"))</f>
        <v/>
      </c>
      <c r="G25" s="15">
        <f>IF(B25="","",COUNTIFS('Tutorías'!$C$7:$C$46,B25,'Tutorías'!$E$7:$E$46,"3.º"))</f>
        <v/>
      </c>
      <c r="H25" s="21">
        <f>IF(B25="","",IF(D25=0,"",SUMPRODUCT(MAX(('Tutorías'!$C$7:$C$46=B25)*'Tutorías'!$B$7:$B$46))))</f>
        <v/>
      </c>
      <c r="I25" s="15">
        <f>IF(B25="","",COUNTIFS('Tutorías'!$C$7:$C$46,B25,'Tutorías'!$J$7:$J$46,"Pendiente")+COUNTIFS('Tutorías'!$C$7:$C$46,B25,'Tutorías'!$J$7:$J$46,"En curso"))</f>
        <v/>
      </c>
      <c r="J25" s="22">
        <f>IF(B25="","",IF(D25=0,"Sin tutorías",IF(Panel!$C$10-H25&gt;Panel!$C$14,"Sin contacto reciente","Al día")))</f>
        <v/>
      </c>
      <c r="K25" s="26" t="n"/>
    </row>
    <row r="26">
      <c r="B26" s="25" t="n"/>
      <c r="C26" s="26" t="n"/>
      <c r="D26" s="15">
        <f>IF(B26="","",COUNTIF('Tutorías'!$C$7:$C$46,B26))</f>
        <v/>
      </c>
      <c r="E26" s="15">
        <f>IF(B26="","",COUNTIFS('Tutorías'!$C$7:$C$46,B26,'Tutorías'!$E$7:$E$46,"1.º"))</f>
        <v/>
      </c>
      <c r="F26" s="15">
        <f>IF(B26="","",COUNTIFS('Tutorías'!$C$7:$C$46,B26,'Tutorías'!$E$7:$E$46,"2.º"))</f>
        <v/>
      </c>
      <c r="G26" s="15">
        <f>IF(B26="","",COUNTIFS('Tutorías'!$C$7:$C$46,B26,'Tutorías'!$E$7:$E$46,"3.º"))</f>
        <v/>
      </c>
      <c r="H26" s="21">
        <f>IF(B26="","",IF(D26=0,"",SUMPRODUCT(MAX(('Tutorías'!$C$7:$C$46=B26)*'Tutorías'!$B$7:$B$46))))</f>
        <v/>
      </c>
      <c r="I26" s="15">
        <f>IF(B26="","",COUNTIFS('Tutorías'!$C$7:$C$46,B26,'Tutorías'!$J$7:$J$46,"Pendiente")+COUNTIFS('Tutorías'!$C$7:$C$46,B26,'Tutorías'!$J$7:$J$46,"En curso"))</f>
        <v/>
      </c>
      <c r="J26" s="22">
        <f>IF(B26="","",IF(D26=0,"Sin tutorías",IF(Panel!$C$10-H26&gt;Panel!$C$14,"Sin contacto reciente","Al día")))</f>
        <v/>
      </c>
      <c r="K26" s="26" t="n"/>
    </row>
    <row r="27">
      <c r="B27" s="25" t="n"/>
      <c r="C27" s="26" t="n"/>
      <c r="D27" s="15">
        <f>IF(B27="","",COUNTIF('Tutorías'!$C$7:$C$46,B27))</f>
        <v/>
      </c>
      <c r="E27" s="15">
        <f>IF(B27="","",COUNTIFS('Tutorías'!$C$7:$C$46,B27,'Tutorías'!$E$7:$E$46,"1.º"))</f>
        <v/>
      </c>
      <c r="F27" s="15">
        <f>IF(B27="","",COUNTIFS('Tutorías'!$C$7:$C$46,B27,'Tutorías'!$E$7:$E$46,"2.º"))</f>
        <v/>
      </c>
      <c r="G27" s="15">
        <f>IF(B27="","",COUNTIFS('Tutorías'!$C$7:$C$46,B27,'Tutorías'!$E$7:$E$46,"3.º"))</f>
        <v/>
      </c>
      <c r="H27" s="21">
        <f>IF(B27="","",IF(D27=0,"",SUMPRODUCT(MAX(('Tutorías'!$C$7:$C$46=B27)*'Tutorías'!$B$7:$B$46))))</f>
        <v/>
      </c>
      <c r="I27" s="15">
        <f>IF(B27="","",COUNTIFS('Tutorías'!$C$7:$C$46,B27,'Tutorías'!$J$7:$J$46,"Pendiente")+COUNTIFS('Tutorías'!$C$7:$C$46,B27,'Tutorías'!$J$7:$J$46,"En curso"))</f>
        <v/>
      </c>
      <c r="J27" s="22">
        <f>IF(B27="","",IF(D27=0,"Sin tutorías",IF(Panel!$C$10-H27&gt;Panel!$C$14,"Sin contacto reciente","Al día")))</f>
        <v/>
      </c>
      <c r="K27" s="26" t="n"/>
    </row>
    <row r="28">
      <c r="B28" s="25" t="n"/>
      <c r="C28" s="26" t="n"/>
      <c r="D28" s="15">
        <f>IF(B28="","",COUNTIF('Tutorías'!$C$7:$C$46,B28))</f>
        <v/>
      </c>
      <c r="E28" s="15">
        <f>IF(B28="","",COUNTIFS('Tutorías'!$C$7:$C$46,B28,'Tutorías'!$E$7:$E$46,"1.º"))</f>
        <v/>
      </c>
      <c r="F28" s="15">
        <f>IF(B28="","",COUNTIFS('Tutorías'!$C$7:$C$46,B28,'Tutorías'!$E$7:$E$46,"2.º"))</f>
        <v/>
      </c>
      <c r="G28" s="15">
        <f>IF(B28="","",COUNTIFS('Tutorías'!$C$7:$C$46,B28,'Tutorías'!$E$7:$E$46,"3.º"))</f>
        <v/>
      </c>
      <c r="H28" s="21">
        <f>IF(B28="","",IF(D28=0,"",SUMPRODUCT(MAX(('Tutorías'!$C$7:$C$46=B28)*'Tutorías'!$B$7:$B$46))))</f>
        <v/>
      </c>
      <c r="I28" s="15">
        <f>IF(B28="","",COUNTIFS('Tutorías'!$C$7:$C$46,B28,'Tutorías'!$J$7:$J$46,"Pendiente")+COUNTIFS('Tutorías'!$C$7:$C$46,B28,'Tutorías'!$J$7:$J$46,"En curso"))</f>
        <v/>
      </c>
      <c r="J28" s="22">
        <f>IF(B28="","",IF(D28=0,"Sin tutorías",IF(Panel!$C$10-H28&gt;Panel!$C$14,"Sin contacto reciente","Al día")))</f>
        <v/>
      </c>
      <c r="K28" s="26" t="n"/>
    </row>
    <row r="29">
      <c r="B29" s="25" t="n"/>
      <c r="C29" s="26" t="n"/>
      <c r="D29" s="15">
        <f>IF(B29="","",COUNTIF('Tutorías'!$C$7:$C$46,B29))</f>
        <v/>
      </c>
      <c r="E29" s="15">
        <f>IF(B29="","",COUNTIFS('Tutorías'!$C$7:$C$46,B29,'Tutorías'!$E$7:$E$46,"1.º"))</f>
        <v/>
      </c>
      <c r="F29" s="15">
        <f>IF(B29="","",COUNTIFS('Tutorías'!$C$7:$C$46,B29,'Tutorías'!$E$7:$E$46,"2.º"))</f>
        <v/>
      </c>
      <c r="G29" s="15">
        <f>IF(B29="","",COUNTIFS('Tutorías'!$C$7:$C$46,B29,'Tutorías'!$E$7:$E$46,"3.º"))</f>
        <v/>
      </c>
      <c r="H29" s="21">
        <f>IF(B29="","",IF(D29=0,"",SUMPRODUCT(MAX(('Tutorías'!$C$7:$C$46=B29)*'Tutorías'!$B$7:$B$46))))</f>
        <v/>
      </c>
      <c r="I29" s="15">
        <f>IF(B29="","",COUNTIFS('Tutorías'!$C$7:$C$46,B29,'Tutorías'!$J$7:$J$46,"Pendiente")+COUNTIFS('Tutorías'!$C$7:$C$46,B29,'Tutorías'!$J$7:$J$46,"En curso"))</f>
        <v/>
      </c>
      <c r="J29" s="22">
        <f>IF(B29="","",IF(D29=0,"Sin tutorías",IF(Panel!$C$10-H29&gt;Panel!$C$14,"Sin contacto reciente","Al día")))</f>
        <v/>
      </c>
      <c r="K29" s="26" t="n"/>
    </row>
    <row r="30">
      <c r="B30" s="25" t="n"/>
      <c r="C30" s="26" t="n"/>
      <c r="D30" s="15">
        <f>IF(B30="","",COUNTIF('Tutorías'!$C$7:$C$46,B30))</f>
        <v/>
      </c>
      <c r="E30" s="15">
        <f>IF(B30="","",COUNTIFS('Tutorías'!$C$7:$C$46,B30,'Tutorías'!$E$7:$E$46,"1.º"))</f>
        <v/>
      </c>
      <c r="F30" s="15">
        <f>IF(B30="","",COUNTIFS('Tutorías'!$C$7:$C$46,B30,'Tutorías'!$E$7:$E$46,"2.º"))</f>
        <v/>
      </c>
      <c r="G30" s="15">
        <f>IF(B30="","",COUNTIFS('Tutorías'!$C$7:$C$46,B30,'Tutorías'!$E$7:$E$46,"3.º"))</f>
        <v/>
      </c>
      <c r="H30" s="21">
        <f>IF(B30="","",IF(D30=0,"",SUMPRODUCT(MAX(('Tutorías'!$C$7:$C$46=B30)*'Tutorías'!$B$7:$B$46))))</f>
        <v/>
      </c>
      <c r="I30" s="15">
        <f>IF(B30="","",COUNTIFS('Tutorías'!$C$7:$C$46,B30,'Tutorías'!$J$7:$J$46,"Pendiente")+COUNTIFS('Tutorías'!$C$7:$C$46,B30,'Tutorías'!$J$7:$J$46,"En curso"))</f>
        <v/>
      </c>
      <c r="J30" s="22">
        <f>IF(B30="","",IF(D30=0,"Sin tutorías",IF(Panel!$C$10-H30&gt;Panel!$C$14,"Sin contacto reciente","Al día")))</f>
        <v/>
      </c>
      <c r="K30" s="26" t="n"/>
    </row>
    <row r="31">
      <c r="B31" s="25" t="n"/>
      <c r="C31" s="26" t="n"/>
      <c r="D31" s="15">
        <f>IF(B31="","",COUNTIF('Tutorías'!$C$7:$C$46,B31))</f>
        <v/>
      </c>
      <c r="E31" s="15">
        <f>IF(B31="","",COUNTIFS('Tutorías'!$C$7:$C$46,B31,'Tutorías'!$E$7:$E$46,"1.º"))</f>
        <v/>
      </c>
      <c r="F31" s="15">
        <f>IF(B31="","",COUNTIFS('Tutorías'!$C$7:$C$46,B31,'Tutorías'!$E$7:$E$46,"2.º"))</f>
        <v/>
      </c>
      <c r="G31" s="15">
        <f>IF(B31="","",COUNTIFS('Tutorías'!$C$7:$C$46,B31,'Tutorías'!$E$7:$E$46,"3.º"))</f>
        <v/>
      </c>
      <c r="H31" s="21">
        <f>IF(B31="","",IF(D31=0,"",SUMPRODUCT(MAX(('Tutorías'!$C$7:$C$46=B31)*'Tutorías'!$B$7:$B$46))))</f>
        <v/>
      </c>
      <c r="I31" s="15">
        <f>IF(B31="","",COUNTIFS('Tutorías'!$C$7:$C$46,B31,'Tutorías'!$J$7:$J$46,"Pendiente")+COUNTIFS('Tutorías'!$C$7:$C$46,B31,'Tutorías'!$J$7:$J$46,"En curso"))</f>
        <v/>
      </c>
      <c r="J31" s="22">
        <f>IF(B31="","",IF(D31=0,"Sin tutorías",IF(Panel!$C$10-H31&gt;Panel!$C$14,"Sin contacto reciente","Al día")))</f>
        <v/>
      </c>
      <c r="K31" s="26" t="n"/>
    </row>
    <row r="32">
      <c r="B32" s="25" t="n"/>
      <c r="C32" s="26" t="n"/>
      <c r="D32" s="15">
        <f>IF(B32="","",COUNTIF('Tutorías'!$C$7:$C$46,B32))</f>
        <v/>
      </c>
      <c r="E32" s="15">
        <f>IF(B32="","",COUNTIFS('Tutorías'!$C$7:$C$46,B32,'Tutorías'!$E$7:$E$46,"1.º"))</f>
        <v/>
      </c>
      <c r="F32" s="15">
        <f>IF(B32="","",COUNTIFS('Tutorías'!$C$7:$C$46,B32,'Tutorías'!$E$7:$E$46,"2.º"))</f>
        <v/>
      </c>
      <c r="G32" s="15">
        <f>IF(B32="","",COUNTIFS('Tutorías'!$C$7:$C$46,B32,'Tutorías'!$E$7:$E$46,"3.º"))</f>
        <v/>
      </c>
      <c r="H32" s="21">
        <f>IF(B32="","",IF(D32=0,"",SUMPRODUCT(MAX(('Tutorías'!$C$7:$C$46=B32)*'Tutorías'!$B$7:$B$46))))</f>
        <v/>
      </c>
      <c r="I32" s="15">
        <f>IF(B32="","",COUNTIFS('Tutorías'!$C$7:$C$46,B32,'Tutorías'!$J$7:$J$46,"Pendiente")+COUNTIFS('Tutorías'!$C$7:$C$46,B32,'Tutorías'!$J$7:$J$46,"En curso"))</f>
        <v/>
      </c>
      <c r="J32" s="22">
        <f>IF(B32="","",IF(D32=0,"Sin tutorías",IF(Panel!$C$10-H32&gt;Panel!$C$14,"Sin contacto reciente","Al día")))</f>
        <v/>
      </c>
      <c r="K32" s="26" t="n"/>
    </row>
    <row r="33">
      <c r="B33" s="25" t="n"/>
      <c r="C33" s="26" t="n"/>
      <c r="D33" s="15">
        <f>IF(B33="","",COUNTIF('Tutorías'!$C$7:$C$46,B33))</f>
        <v/>
      </c>
      <c r="E33" s="15">
        <f>IF(B33="","",COUNTIFS('Tutorías'!$C$7:$C$46,B33,'Tutorías'!$E$7:$E$46,"1.º"))</f>
        <v/>
      </c>
      <c r="F33" s="15">
        <f>IF(B33="","",COUNTIFS('Tutorías'!$C$7:$C$46,B33,'Tutorías'!$E$7:$E$46,"2.º"))</f>
        <v/>
      </c>
      <c r="G33" s="15">
        <f>IF(B33="","",COUNTIFS('Tutorías'!$C$7:$C$46,B33,'Tutorías'!$E$7:$E$46,"3.º"))</f>
        <v/>
      </c>
      <c r="H33" s="21">
        <f>IF(B33="","",IF(D33=0,"",SUMPRODUCT(MAX(('Tutorías'!$C$7:$C$46=B33)*'Tutorías'!$B$7:$B$46))))</f>
        <v/>
      </c>
      <c r="I33" s="15">
        <f>IF(B33="","",COUNTIFS('Tutorías'!$C$7:$C$46,B33,'Tutorías'!$J$7:$J$46,"Pendiente")+COUNTIFS('Tutorías'!$C$7:$C$46,B33,'Tutorías'!$J$7:$J$46,"En curso"))</f>
        <v/>
      </c>
      <c r="J33" s="22">
        <f>IF(B33="","",IF(D33=0,"Sin tutorías",IF(Panel!$C$10-H33&gt;Panel!$C$14,"Sin contacto reciente","Al día")))</f>
        <v/>
      </c>
      <c r="K33" s="26" t="n"/>
    </row>
    <row r="34">
      <c r="B34" s="25" t="n"/>
      <c r="C34" s="26" t="n"/>
      <c r="D34" s="15">
        <f>IF(B34="","",COUNTIF('Tutorías'!$C$7:$C$46,B34))</f>
        <v/>
      </c>
      <c r="E34" s="15">
        <f>IF(B34="","",COUNTIFS('Tutorías'!$C$7:$C$46,B34,'Tutorías'!$E$7:$E$46,"1.º"))</f>
        <v/>
      </c>
      <c r="F34" s="15">
        <f>IF(B34="","",COUNTIFS('Tutorías'!$C$7:$C$46,B34,'Tutorías'!$E$7:$E$46,"2.º"))</f>
        <v/>
      </c>
      <c r="G34" s="15">
        <f>IF(B34="","",COUNTIFS('Tutorías'!$C$7:$C$46,B34,'Tutorías'!$E$7:$E$46,"3.º"))</f>
        <v/>
      </c>
      <c r="H34" s="21">
        <f>IF(B34="","",IF(D34=0,"",SUMPRODUCT(MAX(('Tutorías'!$C$7:$C$46=B34)*'Tutorías'!$B$7:$B$46))))</f>
        <v/>
      </c>
      <c r="I34" s="15">
        <f>IF(B34="","",COUNTIFS('Tutorías'!$C$7:$C$46,B34,'Tutorías'!$J$7:$J$46,"Pendiente")+COUNTIFS('Tutorías'!$C$7:$C$46,B34,'Tutorías'!$J$7:$J$46,"En curso"))</f>
        <v/>
      </c>
      <c r="J34" s="22">
        <f>IF(B34="","",IF(D34=0,"Sin tutorías",IF(Panel!$C$10-H34&gt;Panel!$C$14,"Sin contacto reciente","Al día")))</f>
        <v/>
      </c>
      <c r="K34" s="26" t="n"/>
    </row>
    <row r="35">
      <c r="B35" s="25" t="n"/>
      <c r="C35" s="26" t="n"/>
      <c r="D35" s="15">
        <f>IF(B35="","",COUNTIF('Tutorías'!$C$7:$C$46,B35))</f>
        <v/>
      </c>
      <c r="E35" s="15">
        <f>IF(B35="","",COUNTIFS('Tutorías'!$C$7:$C$46,B35,'Tutorías'!$E$7:$E$46,"1.º"))</f>
        <v/>
      </c>
      <c r="F35" s="15">
        <f>IF(B35="","",COUNTIFS('Tutorías'!$C$7:$C$46,B35,'Tutorías'!$E$7:$E$46,"2.º"))</f>
        <v/>
      </c>
      <c r="G35" s="15">
        <f>IF(B35="","",COUNTIFS('Tutorías'!$C$7:$C$46,B35,'Tutorías'!$E$7:$E$46,"3.º"))</f>
        <v/>
      </c>
      <c r="H35" s="21">
        <f>IF(B35="","",IF(D35=0,"",SUMPRODUCT(MAX(('Tutorías'!$C$7:$C$46=B35)*'Tutorías'!$B$7:$B$46))))</f>
        <v/>
      </c>
      <c r="I35" s="15">
        <f>IF(B35="","",COUNTIFS('Tutorías'!$C$7:$C$46,B35,'Tutorías'!$J$7:$J$46,"Pendiente")+COUNTIFS('Tutorías'!$C$7:$C$46,B35,'Tutorías'!$J$7:$J$46,"En curso"))</f>
        <v/>
      </c>
      <c r="J35" s="22">
        <f>IF(B35="","",IF(D35=0,"Sin tutorías",IF(Panel!$C$10-H35&gt;Panel!$C$14,"Sin contacto reciente","Al día")))</f>
        <v/>
      </c>
      <c r="K35" s="26" t="n"/>
    </row>
    <row r="36">
      <c r="B36" s="25" t="n"/>
      <c r="C36" s="26" t="n"/>
      <c r="D36" s="15">
        <f>IF(B36="","",COUNTIF('Tutorías'!$C$7:$C$46,B36))</f>
        <v/>
      </c>
      <c r="E36" s="15">
        <f>IF(B36="","",COUNTIFS('Tutorías'!$C$7:$C$46,B36,'Tutorías'!$E$7:$E$46,"1.º"))</f>
        <v/>
      </c>
      <c r="F36" s="15">
        <f>IF(B36="","",COUNTIFS('Tutorías'!$C$7:$C$46,B36,'Tutorías'!$E$7:$E$46,"2.º"))</f>
        <v/>
      </c>
      <c r="G36" s="15">
        <f>IF(B36="","",COUNTIFS('Tutorías'!$C$7:$C$46,B36,'Tutorías'!$E$7:$E$46,"3.º"))</f>
        <v/>
      </c>
      <c r="H36" s="21">
        <f>IF(B36="","",IF(D36=0,"",SUMPRODUCT(MAX(('Tutorías'!$C$7:$C$46=B36)*'Tutorías'!$B$7:$B$46))))</f>
        <v/>
      </c>
      <c r="I36" s="15">
        <f>IF(B36="","",COUNTIFS('Tutorías'!$C$7:$C$46,B36,'Tutorías'!$J$7:$J$46,"Pendiente")+COUNTIFS('Tutorías'!$C$7:$C$46,B36,'Tutorías'!$J$7:$J$46,"En curso"))</f>
        <v/>
      </c>
      <c r="J36" s="22">
        <f>IF(B36="","",IF(D36=0,"Sin tutorías",IF(Panel!$C$10-H36&gt;Panel!$C$14,"Sin contacto reciente","Al día")))</f>
        <v/>
      </c>
      <c r="K36" s="26" t="n"/>
    </row>
    <row r="37">
      <c r="B37" s="18" t="inlineStr">
        <is>
          <t>TOTAL</t>
        </is>
      </c>
      <c r="D37" s="19">
        <f>SUM(D7:D36)</f>
        <v/>
      </c>
      <c r="E37" s="19">
        <f>SUM(E7:E36)</f>
        <v/>
      </c>
      <c r="F37" s="19">
        <f>SUM(F7:F36)</f>
        <v/>
      </c>
      <c r="G37" s="19">
        <f>SUM(G7:G36)</f>
        <v/>
      </c>
      <c r="I37" s="19">
        <f>SUM(I7:I36)</f>
        <v/>
      </c>
    </row>
    <row r="39">
      <c r="B39" s="10" t="inlineStr">
        <is>
          <t>Los alumnos que dejes en blanco no cuentan. Si cambias un nombre aquí, actualiza también las filas de la hoja «Tutorías».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K3"/>
    <mergeCell ref="B2:K2"/>
  </mergeCells>
  <conditionalFormatting sqref="J7:J36">
    <cfRule type="cellIs" priority="1" operator="equal" dxfId="0">
      <formula>"Sin contacto reciente"</formula>
    </cfRule>
    <cfRule type="cellIs" priority="2" operator="equal" dxfId="1">
      <formula>"Sin tutorías"</formula>
    </cfRule>
    <cfRule type="cellIs" priority="3" operator="equal" dxfId="2">
      <formula>"Al día"</formula>
    </cfRule>
  </conditionalFormatting>
  <conditionalFormatting sqref="D7:D36">
    <cfRule type="dataBar" priority="4">
      <dataBar>
        <cfvo type="num" val="0"/>
        <cfvo type="max"/>
        <color rgb="0010B981"/>
      </dataBar>
    </cfRule>
  </conditionalFormatting>
  <dataValidations count="1">
    <dataValidation sqref="K7:K36" showDropDown="0" showInputMessage="0" showErrorMessage="0" allowBlank="1" type="list">
      <formula1>=Listas!$E$2:$E$4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9CA3AF"/>
    <outlinePr summaryBelow="1" summaryRight="1"/>
    <pageSetUpPr fitToPage="1"/>
  </sheetPr>
  <dimension ref="B2:B2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34" customHeight="1">
      <c r="B2" s="1" t="inlineStr">
        <is>
          <t>Cómo usar el registro de tutorías</t>
        </is>
      </c>
    </row>
    <row r="3">
      <c r="B3" s="3" t="inlineStr">
        <is>
          <t>Plantilla gratuita de Plantillas de Cálculo · plantillasdecalculo.com</t>
        </is>
      </c>
    </row>
    <row r="5">
      <c r="B5" s="7" t="inlineStr">
        <is>
          <t>CÓMO USARLA</t>
        </is>
      </c>
    </row>
    <row r="6" ht="30" customHeight="1">
      <c r="B6" s="29" t="inlineStr">
        <is>
          <t>1.  Abre la hoja «Alumnos» y escribe tu lista (nombre, grupo y contacto preferido). Admite hasta 30 alumnos; sustituye los ejemplos ficticios.</t>
        </is>
      </c>
    </row>
    <row r="7" ht="30" customHeight="1">
      <c r="B7" s="29" t="inlineStr">
        <is>
          <t>2.  En «Panel» revisa los ajustes: fecha de referencia (bórrala para usar la de hoy), inicio del 2.º y 3.º trimestre, días de aviso y plazo máximo sin tutoría.</t>
        </is>
      </c>
    </row>
    <row r="8" ht="30" customHeight="1">
      <c r="B8" s="29" t="inlineStr">
        <is>
          <t>3.  En «Tutorías» añade una fila por cada reunión o llamada: fecha, alumno (desplegable), asistentes, modalidad, motivo y acuerdos adoptados.</t>
        </is>
      </c>
    </row>
    <row r="9" ht="30" customHeight="1">
      <c r="B9" s="29" t="inlineStr">
        <is>
          <t>4.  Indica el seguimiento: Sin seguimiento, Pendiente, En curso o Cerrado. Si queda algo abierto, anota la fecha de la próxima cita.</t>
        </is>
      </c>
    </row>
    <row r="10" ht="30" customHeight="1">
      <c r="B10" s="29" t="inlineStr">
        <is>
          <t>5.  Trimestre, grupo, estado de la cita, días hasta la cita y número de tutoría del alumno se calculan solos (celdas verdes).</t>
        </is>
      </c>
    </row>
    <row r="11" ht="30" customHeight="1">
      <c r="B11" s="29" t="inlineStr">
        <is>
          <t>6.  Consulta el «Panel»: KPIs, recuento por trimestre y por motivo, y la lista ordenada de próximas citas y seguimientos abiertos.</t>
        </is>
      </c>
    </row>
    <row r="12" ht="30" customHeight="1">
      <c r="B12" s="29" t="inlineStr">
        <is>
          <t>7.  En «Alumnos» el aviso en rojo señala a las familias con las que llevas más de los días indicados sin tutoría.</t>
        </is>
      </c>
    </row>
    <row r="13" ht="30" customHeight="1">
      <c r="B13" s="29" t="inlineStr">
        <is>
          <t>8.  Hay espacio para 40 tutorías. Para más, copia el archivo por trimestre o amplía las fórmulas copiando la última fila.</t>
        </is>
      </c>
    </row>
    <row r="15">
      <c r="B15" s="7" t="inlineStr">
        <is>
          <t>CONSEJOS</t>
        </is>
      </c>
    </row>
    <row r="16" ht="30" customHeight="1">
      <c r="B16" s="29" t="inlineStr">
        <is>
          <t>•  Las hojas están protegidas sin contraseña: solo se pueden editar las celdas crema. Para cambiar fórmulas, quita la protección en Revisar &gt; Desproteger hoja.</t>
        </is>
      </c>
    </row>
    <row r="17" ht="30" customHeight="1">
      <c r="B17" s="29" t="inlineStr">
        <is>
          <t>•  Los motivos, asistentes y modalidades de los desplegables se editan en la hoja oculta «Listas» (clic derecho sobre una pestaña &gt; Mostrar).</t>
        </is>
      </c>
    </row>
    <row r="18" ht="30" customHeight="1">
      <c r="B18" s="29" t="inlineStr">
        <is>
          <t>•  Los nombres de la hoja «Tutorías» deben coincidir con los de «Alumnos»; usa siempre el desplegable.</t>
        </is>
      </c>
    </row>
    <row r="19" ht="30" customHeight="1">
      <c r="B19" s="29" t="inlineStr">
        <is>
          <t>•  Los trimestres y plazos son parámetros editables, no fechas oficiales: ajústalos al calendario de tu centro.</t>
        </is>
      </c>
    </row>
    <row r="21">
      <c r="B21" s="10" t="inlineStr">
        <is>
          <t>Las celdas con fondo crema y texto azul son para rellenar; las verdes se calculan solas.</t>
        </is>
      </c>
    </row>
    <row r="23" ht="44" customHeight="1">
      <c r="B23" s="30" t="inlineStr">
        <is>
          <t>Aviso: esta plantilla solo sirve para registrar y organizar tus tutorías. Los datos de alumnos y familias son personales: guárdalos con las medidas de confidencialidad de tu centro (RGPD) y no los compartas fuera de los canales autorizados. Los ejemplos son ficticios.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"/>
    <mergeCell ref="B2"/>
  </mergeCells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8"/>
  <sheetViews>
    <sheetView showGridLines="0" workbookViewId="0">
      <selection activeCell="A1" sqref="A1"/>
    </sheetView>
  </sheetViews>
  <sheetFormatPr baseColWidth="8" defaultRowHeight="15"/>
  <sheetData>
    <row r="1">
      <c r="A1" t="inlineStr">
        <is>
          <t>Asistentes</t>
        </is>
      </c>
      <c r="B1" t="inlineStr">
        <is>
          <t>Motivo</t>
        </is>
      </c>
      <c r="C1" t="inlineStr">
        <is>
          <t>Seguimiento</t>
        </is>
      </c>
      <c r="D1" t="inlineStr">
        <is>
          <t>Modalidad</t>
        </is>
      </c>
      <c r="E1" t="inlineStr">
        <is>
          <t>Contacto</t>
        </is>
      </c>
    </row>
    <row r="2">
      <c r="A2" t="inlineStr">
        <is>
          <t>Madre</t>
        </is>
      </c>
      <c r="B2" t="inlineStr">
        <is>
          <t>Rendimiento académico</t>
        </is>
      </c>
      <c r="C2" t="inlineStr">
        <is>
          <t>Sin seguimiento</t>
        </is>
      </c>
      <c r="D2" t="inlineStr">
        <is>
          <t>Presencial</t>
        </is>
      </c>
      <c r="E2" t="inlineStr">
        <is>
          <t>Correo</t>
        </is>
      </c>
    </row>
    <row r="3">
      <c r="A3" t="inlineStr">
        <is>
          <t>Padre</t>
        </is>
      </c>
      <c r="B3" t="inlineStr">
        <is>
          <t>Conducta</t>
        </is>
      </c>
      <c r="C3" t="inlineStr">
        <is>
          <t>Pendiente</t>
        </is>
      </c>
      <c r="D3" t="inlineStr">
        <is>
          <t>Telefónica</t>
        </is>
      </c>
      <c r="E3" t="inlineStr">
        <is>
          <t>Teléfono</t>
        </is>
      </c>
    </row>
    <row r="4">
      <c r="A4" t="inlineStr">
        <is>
          <t>Ambos progenitores</t>
        </is>
      </c>
      <c r="B4" t="inlineStr">
        <is>
          <t>Asistencia y puntualidad</t>
        </is>
      </c>
      <c r="C4" t="inlineStr">
        <is>
          <t>En curso</t>
        </is>
      </c>
      <c r="D4" t="inlineStr">
        <is>
          <t>Videollamada</t>
        </is>
      </c>
      <c r="E4" t="inlineStr">
        <is>
          <t>Agenda escolar</t>
        </is>
      </c>
    </row>
    <row r="5">
      <c r="A5" t="inlineStr">
        <is>
          <t>Tutor/a legal</t>
        </is>
      </c>
      <c r="B5" t="inlineStr">
        <is>
          <t>Convivencia</t>
        </is>
      </c>
      <c r="C5" t="inlineStr">
        <is>
          <t>Cerrado</t>
        </is>
      </c>
    </row>
    <row r="6">
      <c r="A6" t="inlineStr">
        <is>
          <t>Familia y alumno/a</t>
        </is>
      </c>
      <c r="B6" t="inlineStr">
        <is>
          <t>Orientación académica</t>
        </is>
      </c>
    </row>
    <row r="7">
      <c r="B7" t="inlineStr">
        <is>
          <t>Informativa</t>
        </is>
      </c>
    </row>
    <row r="8">
      <c r="B8" t="inlineStr">
        <is>
          <t>Adaptación y NEE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2026-10-02T12:52:18Z</dcterms:created>
  <dcterms:modified xmlns:dcterms="http://purl.org/dc/terms/" xmlns:xsi="http://www.w3.org/2001/XMLSchema-instance" xsi:type="dcterms:W3CDTF">2026-10-02T12:52:18Z</dcterms:modified>
</cp:coreProperties>
</file>