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to" sheetId="2" state="visible" r:id="rId2"/>
    <sheet xmlns:r="http://schemas.openxmlformats.org/officeDocument/2006/relationships" name="Ejercicios" sheetId="3" state="visible" r:id="rId3"/>
    <sheet xmlns:r="http://schemas.openxmlformats.org/officeDocument/2006/relationships" name="Seman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0.0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12744A"/>
      <sz val="10"/>
    </font>
    <font>
      <name val="Arial"/>
      <b val="1"/>
      <color rgb="00111827"/>
      <sz val="12"/>
    </font>
    <font>
      <name val="Arial"/>
      <b val="1"/>
      <color rgb="000B4A2F"/>
      <sz val="10"/>
    </font>
    <font>
      <name val="Arial"/>
      <b val="1"/>
      <color rgb="0092400E"/>
      <sz val="10"/>
    </font>
    <font>
      <name val="Arial"/>
      <b val="1"/>
      <color rgb="00B91C1C"/>
      <sz val="10"/>
    </font>
    <font>
      <name val="Arial"/>
      <b val="1"/>
      <color rgb="006B7280"/>
      <sz val="10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8" fillId="0" borderId="0" applyAlignment="1" pivotButton="0" quotePrefix="0" xfId="0">
      <alignment horizontal="right" vertical="center"/>
    </xf>
    <xf numFmtId="164" fontId="6" fillId="0" borderId="1" applyAlignment="1" pivotButton="0" quotePrefix="0" xfId="0">
      <alignment horizontal="center" vertical="center"/>
    </xf>
    <xf numFmtId="9" fontId="4" fillId="4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3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6" fillId="6" borderId="1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1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9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3" fontId="7" fillId="5" borderId="1" applyAlignment="1" pivotButton="0" quotePrefix="0" xfId="0">
      <alignment vertical="center"/>
    </xf>
    <xf numFmtId="9" fontId="7" fillId="5" borderId="1" applyAlignment="1" pivotButton="0" quotePrefix="0" xfId="0">
      <alignment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3" fontId="5" fillId="0" borderId="1" applyAlignment="1" pivotButton="0" quotePrefix="0" xfId="0">
      <alignment horizontal="center" vertical="center"/>
    </xf>
    <xf numFmtId="1" fontId="7" fillId="5" borderId="1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de cumplimiento por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'Reto'!G7</f>
            </strRef>
          </tx>
          <spPr>
            <a:ln xmlns:a="http://schemas.openxmlformats.org/drawingml/2006/main">
              <a:prstDash val="solid"/>
            </a:ln>
          </spPr>
          <cat>
            <numRef>
              <f>'Reto'!$K$8:$K$37</f>
            </numRef>
          </cat>
          <val>
            <numRef>
              <f>'Reto'!$G$8:$G$37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Completados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'Semanas'!F7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'Semanas'!$B$8:$B$12</f>
            </numRef>
          </cat>
          <val>
            <numRef>
              <f>'Semanas'!$F$8:$F$12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Entrenos planificados y completados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'Semanas'!E7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'Semanas'!$B$8:$B$12</f>
            </numRef>
          </cat>
          <val>
            <numRef>
              <f>'Semanas'!$E$8:$E$12</f>
            </numRef>
          </val>
        </ser>
        <ser>
          <idx val="1"/>
          <order val="1"/>
          <tx>
            <strRef>
              <f>'Semanas'!F7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'Semanas'!$B$8:$B$12</f>
            </numRef>
          </cat>
          <val>
            <numRef>
              <f>'Semanas'!$F$8:$F$12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48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16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" customWidth="1" min="10" max="10"/>
  </cols>
  <sheetData>
    <row r="2" ht="34" customHeight="1">
      <c r="B2" s="1" t="inlineStr">
        <is>
          <t>Panel del reto de 30 días de ejercicio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Tu constancia de un vistazo: casillas completadas, % del reto, racha y progresión día a día.</t>
        </is>
      </c>
    </row>
    <row r="5">
      <c r="B5" s="4" t="inlineStr">
        <is>
          <t>Fecha de inicio del reto:</t>
        </is>
      </c>
      <c r="C5" s="5" t="n">
        <v>46279</v>
      </c>
      <c r="E5" s="6" t="inlineStr">
        <is>
          <t>Último día del reto:</t>
        </is>
      </c>
      <c r="G5" s="7">
        <f>C5+29</f>
        <v/>
      </c>
    </row>
    <row r="6">
      <c r="B6" s="4" t="inlineStr">
        <is>
          <t>Ajuste de nivel (% del objetivo):</t>
        </is>
      </c>
      <c r="C6" s="8" t="n">
        <v>1</v>
      </c>
      <c r="E6" s="6" t="inlineStr">
        <is>
          <t>Hoy es el día nº:</t>
        </is>
      </c>
      <c r="G6" s="9">
        <f>IF(TODAY()&lt;C5,0,MIN(30,TODAY()-C5+1))</f>
        <v/>
      </c>
    </row>
    <row r="7">
      <c r="B7" s="4" t="inlineStr">
        <is>
          <t>Parcial desde (% del objetivo):</t>
        </is>
      </c>
      <c r="C7" s="8" t="n">
        <v>0.6</v>
      </c>
      <c r="E7" s="6" t="inlineStr">
        <is>
          <t>Último día registrado:</t>
        </is>
      </c>
      <c r="G7" s="9">
        <f>SUMPRODUCT(MAX((Reto!$F$8:$F$37&lt;&gt;"")*Reto!$K$8:$K$37))</f>
        <v/>
      </c>
    </row>
    <row r="9" ht="30" customHeight="1">
      <c r="B9" s="10" t="inlineStr">
        <is>
          <t>DÍAS COMPLETADOS</t>
        </is>
      </c>
      <c r="C9" s="10" t="inlineStr">
        <is>
          <t>% DEL RETO COMPLETADO</t>
        </is>
      </c>
      <c r="E9" s="10" t="inlineStr">
        <is>
          <t>RACHA ACTUAL (días)</t>
        </is>
      </c>
      <c r="G9" s="10" t="inlineStr">
        <is>
          <t>MEJOR RACHA (días)</t>
        </is>
      </c>
    </row>
    <row r="10" ht="36" customHeight="1">
      <c r="B10" s="11">
        <f>COUNTIF(Reto!$H$8:$H$37,"Completado")</f>
        <v/>
      </c>
      <c r="C10" s="12">
        <f>IFERROR(B10/SUMPRODUCT((Reto!$C$8:$C$37&lt;&gt;"")*(Reto!$C$8:$C$37&lt;&gt;"Descanso")),0)</f>
        <v/>
      </c>
      <c r="E10" s="11">
        <f>IF(G7=0,0,N(INDEX(Reto!$I$8:$I$37,MATCH(G7,Reto!$K$8:$K$37,0))))</f>
        <v/>
      </c>
      <c r="G10" s="11">
        <f>MAX(0,MAX(Reto!$I$8:$I$37))</f>
        <v/>
      </c>
    </row>
    <row r="12" ht="30" customHeight="1">
      <c r="B12" s="10" t="inlineStr">
        <is>
          <t>REPETICIONES TOTALES</t>
        </is>
      </c>
      <c r="C12" s="10" t="inlineStr">
        <is>
          <t>MINUTOS EN EJERCICIOS DE TIEMPO</t>
        </is>
      </c>
      <c r="E12" s="10" t="inlineStr">
        <is>
          <t>CUMPLIMIENTO MEDIO</t>
        </is>
      </c>
      <c r="G12" s="10" t="inlineStr">
        <is>
          <t>ENTRENOS PENDIENTES</t>
        </is>
      </c>
    </row>
    <row r="13" ht="36" customHeight="1">
      <c r="B13" s="13">
        <f>SUMIF(Reto!$E$8:$E$37,"reps",Reto!$F$8:$F$37)</f>
        <v/>
      </c>
      <c r="C13" s="14">
        <f>SUMIF(Reto!$E$8:$E$37,"seg",Reto!$F$8:$F$37)/60</f>
        <v/>
      </c>
      <c r="E13" s="12">
        <f>IFERROR(SUM(Reto!$G$8:$G$37)/COUNT(Reto!$G$8:$G$37),0)</f>
        <v/>
      </c>
      <c r="G13" s="11">
        <f>COUNTIF(Reto!$H$8:$H$37,"Pendiente")</f>
        <v/>
      </c>
    </row>
    <row r="15">
      <c r="B15" s="15" t="inlineStr">
        <is>
          <t>TABLERO DE 30 DÍAS</t>
        </is>
      </c>
    </row>
    <row r="16" ht="30" customHeight="1">
      <c r="B16" s="16" t="inlineStr">
        <is>
          <t>Días 1 a 5</t>
        </is>
      </c>
      <c r="C16" s="17">
        <f>1&amp;" "&amp;IF(INDEX(Reto!$H$8:$H$37,1)="Completado","✔",IF(INDEX(Reto!$H$8:$H$37,1)="Parcial","½",IF(INDEX(Reto!$H$8:$H$37,1)="Fallado","✖",IF(INDEX(Reto!$H$8:$H$37,1)="Descanso","zz",""))))</f>
        <v/>
      </c>
      <c r="D16" s="17">
        <f>2&amp;" "&amp;IF(INDEX(Reto!$H$8:$H$37,2)="Completado","✔",IF(INDEX(Reto!$H$8:$H$37,2)="Parcial","½",IF(INDEX(Reto!$H$8:$H$37,2)="Fallado","✖",IF(INDEX(Reto!$H$8:$H$37,2)="Descanso","zz",""))))</f>
        <v/>
      </c>
      <c r="E16" s="17">
        <f>3&amp;" "&amp;IF(INDEX(Reto!$H$8:$H$37,3)="Completado","✔",IF(INDEX(Reto!$H$8:$H$37,3)="Parcial","½",IF(INDEX(Reto!$H$8:$H$37,3)="Fallado","✖",IF(INDEX(Reto!$H$8:$H$37,3)="Descanso","zz",""))))</f>
        <v/>
      </c>
      <c r="F16" s="17">
        <f>4&amp;" "&amp;IF(INDEX(Reto!$H$8:$H$37,4)="Completado","✔",IF(INDEX(Reto!$H$8:$H$37,4)="Parcial","½",IF(INDEX(Reto!$H$8:$H$37,4)="Fallado","✖",IF(INDEX(Reto!$H$8:$H$37,4)="Descanso","zz",""))))</f>
        <v/>
      </c>
      <c r="G16" s="17">
        <f>5&amp;" "&amp;IF(INDEX(Reto!$H$8:$H$37,5)="Completado","✔",IF(INDEX(Reto!$H$8:$H$37,5)="Parcial","½",IF(INDEX(Reto!$H$8:$H$37,5)="Fallado","✖",IF(INDEX(Reto!$H$8:$H$37,5)="Descanso","zz",""))))</f>
        <v/>
      </c>
      <c r="H16" s="18" t="inlineStr">
        <is>
          <t>✔ completado</t>
        </is>
      </c>
    </row>
    <row r="17" ht="30" customHeight="1">
      <c r="B17" s="16" t="inlineStr">
        <is>
          <t>Días 6 a 10</t>
        </is>
      </c>
      <c r="C17" s="17">
        <f>6&amp;" "&amp;IF(INDEX(Reto!$H$8:$H$37,6)="Completado","✔",IF(INDEX(Reto!$H$8:$H$37,6)="Parcial","½",IF(INDEX(Reto!$H$8:$H$37,6)="Fallado","✖",IF(INDEX(Reto!$H$8:$H$37,6)="Descanso","zz",""))))</f>
        <v/>
      </c>
      <c r="D17" s="17">
        <f>7&amp;" "&amp;IF(INDEX(Reto!$H$8:$H$37,7)="Completado","✔",IF(INDEX(Reto!$H$8:$H$37,7)="Parcial","½",IF(INDEX(Reto!$H$8:$H$37,7)="Fallado","✖",IF(INDEX(Reto!$H$8:$H$37,7)="Descanso","zz",""))))</f>
        <v/>
      </c>
      <c r="E17" s="17">
        <f>8&amp;" "&amp;IF(INDEX(Reto!$H$8:$H$37,8)="Completado","✔",IF(INDEX(Reto!$H$8:$H$37,8)="Parcial","½",IF(INDEX(Reto!$H$8:$H$37,8)="Fallado","✖",IF(INDEX(Reto!$H$8:$H$37,8)="Descanso","zz",""))))</f>
        <v/>
      </c>
      <c r="F17" s="17">
        <f>9&amp;" "&amp;IF(INDEX(Reto!$H$8:$H$37,9)="Completado","✔",IF(INDEX(Reto!$H$8:$H$37,9)="Parcial","½",IF(INDEX(Reto!$H$8:$H$37,9)="Fallado","✖",IF(INDEX(Reto!$H$8:$H$37,9)="Descanso","zz",""))))</f>
        <v/>
      </c>
      <c r="G17" s="17">
        <f>10&amp;" "&amp;IF(INDEX(Reto!$H$8:$H$37,10)="Completado","✔",IF(INDEX(Reto!$H$8:$H$37,10)="Parcial","½",IF(INDEX(Reto!$H$8:$H$37,10)="Fallado","✖",IF(INDEX(Reto!$H$8:$H$37,10)="Descanso","zz",""))))</f>
        <v/>
      </c>
      <c r="H17" s="19" t="inlineStr">
        <is>
          <t>½ parcial</t>
        </is>
      </c>
    </row>
    <row r="18" ht="30" customHeight="1">
      <c r="B18" s="16" t="inlineStr">
        <is>
          <t>Días 11 a 15</t>
        </is>
      </c>
      <c r="C18" s="17">
        <f>11&amp;" "&amp;IF(INDEX(Reto!$H$8:$H$37,11)="Completado","✔",IF(INDEX(Reto!$H$8:$H$37,11)="Parcial","½",IF(INDEX(Reto!$H$8:$H$37,11)="Fallado","✖",IF(INDEX(Reto!$H$8:$H$37,11)="Descanso","zz",""))))</f>
        <v/>
      </c>
      <c r="D18" s="17">
        <f>12&amp;" "&amp;IF(INDEX(Reto!$H$8:$H$37,12)="Completado","✔",IF(INDEX(Reto!$H$8:$H$37,12)="Parcial","½",IF(INDEX(Reto!$H$8:$H$37,12)="Fallado","✖",IF(INDEX(Reto!$H$8:$H$37,12)="Descanso","zz",""))))</f>
        <v/>
      </c>
      <c r="E18" s="17">
        <f>13&amp;" "&amp;IF(INDEX(Reto!$H$8:$H$37,13)="Completado","✔",IF(INDEX(Reto!$H$8:$H$37,13)="Parcial","½",IF(INDEX(Reto!$H$8:$H$37,13)="Fallado","✖",IF(INDEX(Reto!$H$8:$H$37,13)="Descanso","zz",""))))</f>
        <v/>
      </c>
      <c r="F18" s="17">
        <f>14&amp;" "&amp;IF(INDEX(Reto!$H$8:$H$37,14)="Completado","✔",IF(INDEX(Reto!$H$8:$H$37,14)="Parcial","½",IF(INDEX(Reto!$H$8:$H$37,14)="Fallado","✖",IF(INDEX(Reto!$H$8:$H$37,14)="Descanso","zz",""))))</f>
        <v/>
      </c>
      <c r="G18" s="17">
        <f>15&amp;" "&amp;IF(INDEX(Reto!$H$8:$H$37,15)="Completado","✔",IF(INDEX(Reto!$H$8:$H$37,15)="Parcial","½",IF(INDEX(Reto!$H$8:$H$37,15)="Fallado","✖",IF(INDEX(Reto!$H$8:$H$37,15)="Descanso","zz",""))))</f>
        <v/>
      </c>
      <c r="H18" s="20" t="inlineStr">
        <is>
          <t>✖ fallado</t>
        </is>
      </c>
    </row>
    <row r="19" ht="30" customHeight="1">
      <c r="B19" s="16" t="inlineStr">
        <is>
          <t>Días 16 a 20</t>
        </is>
      </c>
      <c r="C19" s="17">
        <f>16&amp;" "&amp;IF(INDEX(Reto!$H$8:$H$37,16)="Completado","✔",IF(INDEX(Reto!$H$8:$H$37,16)="Parcial","½",IF(INDEX(Reto!$H$8:$H$37,16)="Fallado","✖",IF(INDEX(Reto!$H$8:$H$37,16)="Descanso","zz",""))))</f>
        <v/>
      </c>
      <c r="D19" s="17">
        <f>17&amp;" "&amp;IF(INDEX(Reto!$H$8:$H$37,17)="Completado","✔",IF(INDEX(Reto!$H$8:$H$37,17)="Parcial","½",IF(INDEX(Reto!$H$8:$H$37,17)="Fallado","✖",IF(INDEX(Reto!$H$8:$H$37,17)="Descanso","zz",""))))</f>
        <v/>
      </c>
      <c r="E19" s="17">
        <f>18&amp;" "&amp;IF(INDEX(Reto!$H$8:$H$37,18)="Completado","✔",IF(INDEX(Reto!$H$8:$H$37,18)="Parcial","½",IF(INDEX(Reto!$H$8:$H$37,18)="Fallado","✖",IF(INDEX(Reto!$H$8:$H$37,18)="Descanso","zz",""))))</f>
        <v/>
      </c>
      <c r="F19" s="17">
        <f>19&amp;" "&amp;IF(INDEX(Reto!$H$8:$H$37,19)="Completado","✔",IF(INDEX(Reto!$H$8:$H$37,19)="Parcial","½",IF(INDEX(Reto!$H$8:$H$37,19)="Fallado","✖",IF(INDEX(Reto!$H$8:$H$37,19)="Descanso","zz",""))))</f>
        <v/>
      </c>
      <c r="G19" s="17">
        <f>20&amp;" "&amp;IF(INDEX(Reto!$H$8:$H$37,20)="Completado","✔",IF(INDEX(Reto!$H$8:$H$37,20)="Parcial","½",IF(INDEX(Reto!$H$8:$H$37,20)="Fallado","✖",IF(INDEX(Reto!$H$8:$H$37,20)="Descanso","zz",""))))</f>
        <v/>
      </c>
      <c r="H19" s="21" t="inlineStr">
        <is>
          <t>zz descanso</t>
        </is>
      </c>
    </row>
    <row r="20" ht="30" customHeight="1">
      <c r="B20" s="16" t="inlineStr">
        <is>
          <t>Días 21 a 25</t>
        </is>
      </c>
      <c r="C20" s="17">
        <f>21&amp;" "&amp;IF(INDEX(Reto!$H$8:$H$37,21)="Completado","✔",IF(INDEX(Reto!$H$8:$H$37,21)="Parcial","½",IF(INDEX(Reto!$H$8:$H$37,21)="Fallado","✖",IF(INDEX(Reto!$H$8:$H$37,21)="Descanso","zz",""))))</f>
        <v/>
      </c>
      <c r="D20" s="17">
        <f>22&amp;" "&amp;IF(INDEX(Reto!$H$8:$H$37,22)="Completado","✔",IF(INDEX(Reto!$H$8:$H$37,22)="Parcial","½",IF(INDEX(Reto!$H$8:$H$37,22)="Fallado","✖",IF(INDEX(Reto!$H$8:$H$37,22)="Descanso","zz",""))))</f>
        <v/>
      </c>
      <c r="E20" s="17">
        <f>23&amp;" "&amp;IF(INDEX(Reto!$H$8:$H$37,23)="Completado","✔",IF(INDEX(Reto!$H$8:$H$37,23)="Parcial","½",IF(INDEX(Reto!$H$8:$H$37,23)="Fallado","✖",IF(INDEX(Reto!$H$8:$H$37,23)="Descanso","zz",""))))</f>
        <v/>
      </c>
      <c r="F20" s="17">
        <f>24&amp;" "&amp;IF(INDEX(Reto!$H$8:$H$37,24)="Completado","✔",IF(INDEX(Reto!$H$8:$H$37,24)="Parcial","½",IF(INDEX(Reto!$H$8:$H$37,24)="Fallado","✖",IF(INDEX(Reto!$H$8:$H$37,24)="Descanso","zz",""))))</f>
        <v/>
      </c>
      <c r="G20" s="17">
        <f>25&amp;" "&amp;IF(INDEX(Reto!$H$8:$H$37,25)="Completado","✔",IF(INDEX(Reto!$H$8:$H$37,25)="Parcial","½",IF(INDEX(Reto!$H$8:$H$37,25)="Fallado","✖",IF(INDEX(Reto!$H$8:$H$37,25)="Descanso","zz",""))))</f>
        <v/>
      </c>
      <c r="H20" s="22" t="inlineStr">
        <is>
          <t>sin símbolo: pendiente</t>
        </is>
      </c>
    </row>
    <row r="21" ht="30" customHeight="1">
      <c r="B21" s="16" t="inlineStr">
        <is>
          <t>Días 26 a 30</t>
        </is>
      </c>
      <c r="C21" s="17">
        <f>26&amp;" "&amp;IF(INDEX(Reto!$H$8:$H$37,26)="Completado","✔",IF(INDEX(Reto!$H$8:$H$37,26)="Parcial","½",IF(INDEX(Reto!$H$8:$H$37,26)="Fallado","✖",IF(INDEX(Reto!$H$8:$H$37,26)="Descanso","zz",""))))</f>
        <v/>
      </c>
      <c r="D21" s="17">
        <f>27&amp;" "&amp;IF(INDEX(Reto!$H$8:$H$37,27)="Completado","✔",IF(INDEX(Reto!$H$8:$H$37,27)="Parcial","½",IF(INDEX(Reto!$H$8:$H$37,27)="Fallado","✖",IF(INDEX(Reto!$H$8:$H$37,27)="Descanso","zz",""))))</f>
        <v/>
      </c>
      <c r="E21" s="17">
        <f>28&amp;" "&amp;IF(INDEX(Reto!$H$8:$H$37,28)="Completado","✔",IF(INDEX(Reto!$H$8:$H$37,28)="Parcial","½",IF(INDEX(Reto!$H$8:$H$37,28)="Fallado","✖",IF(INDEX(Reto!$H$8:$H$37,28)="Descanso","zz",""))))</f>
        <v/>
      </c>
      <c r="F21" s="17">
        <f>29&amp;" "&amp;IF(INDEX(Reto!$H$8:$H$37,29)="Completado","✔",IF(INDEX(Reto!$H$8:$H$37,29)="Parcial","½",IF(INDEX(Reto!$H$8:$H$37,29)="Fallado","✖",IF(INDEX(Reto!$H$8:$H$37,29)="Descanso","zz",""))))</f>
        <v/>
      </c>
      <c r="G21" s="17">
        <f>30&amp;" "&amp;IF(INDEX(Reto!$H$8:$H$37,30)="Completado","✔",IF(INDEX(Reto!$H$8:$H$37,30)="Parcial","½",IF(INDEX(Reto!$H$8:$H$37,30)="Fallado","✖",IF(INDEX(Reto!$H$8:$H$37,30)="Descanso","zz",""))))</f>
        <v/>
      </c>
    </row>
    <row r="23" ht="26" customHeight="1">
      <c r="B23" s="23">
        <f>"Llevas "&amp;B10&amp;" de "&amp;SUMPRODUCT((Reto!$C$8:$C$37&lt;&gt;"")*(Reto!$C$8:$C$37&lt;&gt;"Descanso"))&amp;" entrenos completados ("&amp;TEXT(C10,"0%")&amp;" del reto) y tu racha actual es de "&amp;E10&amp;" días."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E12:F12"/>
    <mergeCell ref="C12:D12"/>
    <mergeCell ref="E6:F6"/>
    <mergeCell ref="G12:H12"/>
    <mergeCell ref="C10:D10"/>
    <mergeCell ref="E7:F7"/>
    <mergeCell ref="E10:F10"/>
    <mergeCell ref="B2:I2"/>
    <mergeCell ref="G10:H10"/>
    <mergeCell ref="E5:F5"/>
    <mergeCell ref="B3:I3"/>
    <mergeCell ref="E13:F13"/>
    <mergeCell ref="C13:D13"/>
    <mergeCell ref="C9:D9"/>
    <mergeCell ref="B23:I23"/>
    <mergeCell ref="G9:H9"/>
    <mergeCell ref="E9:F9"/>
    <mergeCell ref="G13:H13"/>
  </mergeCells>
  <conditionalFormatting sqref="C16:G21">
    <cfRule type="expression" priority="1" dxfId="0">
      <formula>ISNUMBER(SEARCH("✔",C16))</formula>
    </cfRule>
    <cfRule type="expression" priority="2" dxfId="1">
      <formula>ISNUMBER(SEARCH("½",C16))</formula>
    </cfRule>
    <cfRule type="expression" priority="3" dxfId="2">
      <formula>ISNUMBER(SEARCH("✖",C16))</formula>
    </cfRule>
    <cfRule type="expression" priority="4" dxfId="3">
      <formula>ISNUMBER(SEARCH("zz",C16))</formula>
    </cfRule>
  </conditionalFormatting>
  <dataValidations count="3">
    <dataValidation sqref="C5" showDropDown="0" showInputMessage="0" showErrorMessage="1" allowBlank="0" errorTitle="Fecha no válida" error="Escribe una fecha válida (dd/mm/aaaa)." type="date" operator="greaterThan">
      <formula1>36526</formula1>
    </dataValidation>
    <dataValidation sqref="C6" showDropDown="0" showInputMessage="0" showErrorMessage="1" allowBlank="0" errorTitle="Ajuste no válido" error="Escribe un porcentaje entre 30 % y 300 % (100 % = objetivos tal cual)." type="decimal" operator="between">
      <formula1>0.3</formula1>
      <formula2>3</formula2>
    </dataValidation>
    <dataValidation sqref="C7" showDropDown="0" showInputMessage="0" showErrorMessage="1" allowBlank="0" errorTitle="Umbral no válido" error="Escribe un porcentaje entre 10 % y 99 %." type="decimal" operator="between">
      <formula1>0.1</formula1>
      <formula2>0.99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4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7" customWidth="1" min="3" max="3"/>
    <col width="11" customWidth="1" min="4" max="4"/>
    <col width="9" customWidth="1" min="5" max="5"/>
    <col width="12" customWidth="1" min="6" max="6"/>
    <col width="12" customWidth="1" min="7" max="7"/>
    <col width="13" customWidth="1" min="8" max="8"/>
    <col width="9" customWidth="1" min="9" max="9"/>
    <col width="13" customWidth="1" min="10" max="10"/>
    <col width="7" customWidth="1" min="11" max="11"/>
    <col width="9" customWidth="1" min="12" max="12"/>
    <col width="7" customWidth="1" min="13" max="13"/>
    <col width="13" customWidth="1" min="14" max="14"/>
    <col width="30" customWidth="1" min="15" max="15"/>
  </cols>
  <sheetData>
    <row r="2" ht="34" customHeight="1">
      <c r="B2" s="1" t="inlineStr">
        <is>
          <t>Tablero del reto de 30 días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Elige el ejercicio de cada día y anota solo lo que has hecho; objetivo, estado y racha se calculan solos.</t>
        </is>
      </c>
    </row>
    <row r="7" ht="44" customHeight="1">
      <c r="B7" s="24" t="inlineStr">
        <is>
          <t>Día</t>
        </is>
      </c>
      <c r="C7" s="24" t="inlineStr">
        <is>
          <t>Ejercicio del día</t>
        </is>
      </c>
      <c r="D7" s="24" t="inlineStr">
        <is>
          <t>Objetivo</t>
        </is>
      </c>
      <c r="E7" s="24" t="inlineStr">
        <is>
          <t>Unidad</t>
        </is>
      </c>
      <c r="F7" s="24" t="inlineStr">
        <is>
          <t>Realizadas</t>
        </is>
      </c>
      <c r="G7" s="24" t="inlineStr">
        <is>
          <t>% cumplido</t>
        </is>
      </c>
      <c r="H7" s="24" t="inlineStr">
        <is>
          <t>Estado</t>
        </is>
      </c>
      <c r="I7" s="24" t="inlineStr">
        <is>
          <t>Racha (días)</t>
        </is>
      </c>
      <c r="J7" s="24" t="inlineStr">
        <is>
          <t>Fecha</t>
        </is>
      </c>
      <c r="K7" s="24" t="inlineStr">
        <is>
          <t>Nº día</t>
        </is>
      </c>
      <c r="L7" s="24" t="inlineStr">
        <is>
          <t>Semana</t>
        </is>
      </c>
      <c r="M7" s="24" t="inlineStr">
        <is>
          <t>Día</t>
        </is>
      </c>
      <c r="N7" s="24" t="inlineStr">
        <is>
          <t>Completados acumulados</t>
        </is>
      </c>
      <c r="O7" s="24" t="inlineStr">
        <is>
          <t>Nota</t>
        </is>
      </c>
    </row>
    <row r="8">
      <c r="B8" s="25" t="inlineStr">
        <is>
          <t>Día 1</t>
        </is>
      </c>
      <c r="C8" s="26" t="inlineStr">
        <is>
          <t>Sentadillas</t>
        </is>
      </c>
      <c r="D8" s="27">
        <f>IF(OR(C8="",C8="Descanso"),"",IFERROR(ROUND((VLOOKUP(C8,Ejercicios!$B$8:$E$17,3,0)+VLOOKUP(C8,Ejercicios!$B$8:$E$17,4,0)*(L8-1))*Panel!$C$6,0),""))</f>
        <v/>
      </c>
      <c r="E8" s="28">
        <f>IF(OR(C8="",C8="Descanso"),"",IFERROR(VLOOKUP(C8,Ejercicios!$B$8:$E$17,2,0),""))</f>
        <v/>
      </c>
      <c r="F8" s="29" t="n">
        <v>15</v>
      </c>
      <c r="G8" s="30">
        <f>IF(OR(D8="",F8=""),"",IFERROR(F8/D8,0))</f>
        <v/>
      </c>
      <c r="H8" s="28">
        <f>IF(C8="","",IF(C8="Descanso","Descanso",IF(OR(F8="",D8=""),"Pendiente",IF(G8&gt;=1,"Completado",IF(G8&gt;=Panel!$C$7,"Parcial","Fallado")))))</f>
        <v/>
      </c>
      <c r="I8" s="27">
        <f>IF(OR(H8="",H8="Pendiente"),"",IF(H8="Descanso",N(I7),IF(H8="Completado",N(I7)+1,0)))</f>
        <v/>
      </c>
      <c r="J8" s="31">
        <f>Panel!$C$5+K8-1</f>
        <v/>
      </c>
      <c r="K8" s="27" t="n">
        <v>1</v>
      </c>
      <c r="L8" s="27">
        <f>INT((K8-1)/7)+1</f>
        <v/>
      </c>
      <c r="M8" s="28">
        <f>MID("LunMarMiéJueVieSábDom",(WEEKDAY(J8,2)-1)*3+1,3)</f>
        <v/>
      </c>
      <c r="N8" s="27">
        <f>IF(OR(H8="",H8="Pendiente"),"",COUNTIF(H$8:H8,"Completado"))</f>
        <v/>
      </c>
      <c r="O8" s="26" t="inlineStr">
        <is>
          <t>Primer día, con ganas</t>
        </is>
      </c>
    </row>
    <row r="9">
      <c r="B9" s="25" t="inlineStr">
        <is>
          <t>Día 2</t>
        </is>
      </c>
      <c r="C9" s="26" t="inlineStr">
        <is>
          <t>Flexiones</t>
        </is>
      </c>
      <c r="D9" s="27">
        <f>IF(OR(C9="",C9="Descanso"),"",IFERROR(ROUND((VLOOKUP(C9,Ejercicios!$B$8:$E$17,3,0)+VLOOKUP(C9,Ejercicios!$B$8:$E$17,4,0)*(L9-1))*Panel!$C$6,0),""))</f>
        <v/>
      </c>
      <c r="E9" s="28">
        <f>IF(OR(C9="",C9="Descanso"),"",IFERROR(VLOOKUP(C9,Ejercicios!$B$8:$E$17,2,0),""))</f>
        <v/>
      </c>
      <c r="F9" s="29" t="n">
        <v>8</v>
      </c>
      <c r="G9" s="30">
        <f>IF(OR(D9="",F9=""),"",IFERROR(F9/D9,0))</f>
        <v/>
      </c>
      <c r="H9" s="28">
        <f>IF(C9="","",IF(C9="Descanso","Descanso",IF(OR(F9="",D9=""),"Pendiente",IF(G9&gt;=1,"Completado",IF(G9&gt;=Panel!$C$7,"Parcial","Fallado")))))</f>
        <v/>
      </c>
      <c r="I9" s="27">
        <f>IF(OR(H9="",H9="Pendiente"),"",IF(H9="Descanso",N(I8),IF(H9="Completado",N(I8)+1,0)))</f>
        <v/>
      </c>
      <c r="J9" s="31">
        <f>Panel!$C$5+K9-1</f>
        <v/>
      </c>
      <c r="K9" s="27" t="n">
        <v>2</v>
      </c>
      <c r="L9" s="27">
        <f>INT((K9-1)/7)+1</f>
        <v/>
      </c>
      <c r="M9" s="28">
        <f>MID("LunMarMiéJueVieSábDom",(WEEKDAY(J9,2)-1)*3+1,3)</f>
        <v/>
      </c>
      <c r="N9" s="27">
        <f>IF(OR(H9="",H9="Pendiente"),"",COUNTIF(H$8:H9,"Completado"))</f>
        <v/>
      </c>
      <c r="O9" s="26" t="n"/>
    </row>
    <row r="10">
      <c r="B10" s="25" t="inlineStr">
        <is>
          <t>Día 3</t>
        </is>
      </c>
      <c r="C10" s="26" t="inlineStr">
        <is>
          <t>Abdominales</t>
        </is>
      </c>
      <c r="D10" s="27">
        <f>IF(OR(C10="",C10="Descanso"),"",IFERROR(ROUND((VLOOKUP(C10,Ejercicios!$B$8:$E$17,3,0)+VLOOKUP(C10,Ejercicios!$B$8:$E$17,4,0)*(L10-1))*Panel!$C$6,0),""))</f>
        <v/>
      </c>
      <c r="E10" s="28">
        <f>IF(OR(C10="",C10="Descanso"),"",IFERROR(VLOOKUP(C10,Ejercicios!$B$8:$E$17,2,0),""))</f>
        <v/>
      </c>
      <c r="F10" s="29" t="n">
        <v>16</v>
      </c>
      <c r="G10" s="30">
        <f>IF(OR(D10="",F10=""),"",IFERROR(F10/D10,0))</f>
        <v/>
      </c>
      <c r="H10" s="28">
        <f>IF(C10="","",IF(C10="Descanso","Descanso",IF(OR(F10="",D10=""),"Pendiente",IF(G10&gt;=1,"Completado",IF(G10&gt;=Panel!$C$7,"Parcial","Fallado")))))</f>
        <v/>
      </c>
      <c r="I10" s="27">
        <f>IF(OR(H10="",H10="Pendiente"),"",IF(H10="Descanso",N(I9),IF(H10="Completado",N(I9)+1,0)))</f>
        <v/>
      </c>
      <c r="J10" s="31">
        <f>Panel!$C$5+K10-1</f>
        <v/>
      </c>
      <c r="K10" s="27" t="n">
        <v>3</v>
      </c>
      <c r="L10" s="27">
        <f>INT((K10-1)/7)+1</f>
        <v/>
      </c>
      <c r="M10" s="28">
        <f>MID("LunMarMiéJueVieSábDom",(WEEKDAY(J10,2)-1)*3+1,3)</f>
        <v/>
      </c>
      <c r="N10" s="27">
        <f>IF(OR(H10="",H10="Pendiente"),"",COUNTIF(H$8:H10,"Completado"))</f>
        <v/>
      </c>
      <c r="O10" s="26" t="inlineStr">
        <is>
          <t>Fácil, subí una más</t>
        </is>
      </c>
    </row>
    <row r="11">
      <c r="B11" s="25" t="inlineStr">
        <is>
          <t>Día 4</t>
        </is>
      </c>
      <c r="C11" s="26" t="inlineStr">
        <is>
          <t>Plancha</t>
        </is>
      </c>
      <c r="D11" s="27">
        <f>IF(OR(C11="",C11="Descanso"),"",IFERROR(ROUND((VLOOKUP(C11,Ejercicios!$B$8:$E$17,3,0)+VLOOKUP(C11,Ejercicios!$B$8:$E$17,4,0)*(L11-1))*Panel!$C$6,0),""))</f>
        <v/>
      </c>
      <c r="E11" s="28">
        <f>IF(OR(C11="",C11="Descanso"),"",IFERROR(VLOOKUP(C11,Ejercicios!$B$8:$E$17,2,0),""))</f>
        <v/>
      </c>
      <c r="F11" s="29" t="n">
        <v>20</v>
      </c>
      <c r="G11" s="30">
        <f>IF(OR(D11="",F11=""),"",IFERROR(F11/D11,0))</f>
        <v/>
      </c>
      <c r="H11" s="28">
        <f>IF(C11="","",IF(C11="Descanso","Descanso",IF(OR(F11="",D11=""),"Pendiente",IF(G11&gt;=1,"Completado",IF(G11&gt;=Panel!$C$7,"Parcial","Fallado")))))</f>
        <v/>
      </c>
      <c r="I11" s="27">
        <f>IF(OR(H11="",H11="Pendiente"),"",IF(H11="Descanso",N(I10),IF(H11="Completado",N(I10)+1,0)))</f>
        <v/>
      </c>
      <c r="J11" s="31">
        <f>Panel!$C$5+K11-1</f>
        <v/>
      </c>
      <c r="K11" s="27" t="n">
        <v>4</v>
      </c>
      <c r="L11" s="27">
        <f>INT((K11-1)/7)+1</f>
        <v/>
      </c>
      <c r="M11" s="28">
        <f>MID("LunMarMiéJueVieSábDom",(WEEKDAY(J11,2)-1)*3+1,3)</f>
        <v/>
      </c>
      <c r="N11" s="27">
        <f>IF(OR(H11="",H11="Pendiente"),"",COUNTIF(H$8:H11,"Completado"))</f>
        <v/>
      </c>
      <c r="O11" s="26" t="n"/>
    </row>
    <row r="12">
      <c r="B12" s="25" t="inlineStr">
        <is>
          <t>Día 5</t>
        </is>
      </c>
      <c r="C12" s="26" t="inlineStr">
        <is>
          <t>Zancadas</t>
        </is>
      </c>
      <c r="D12" s="27">
        <f>IF(OR(C12="",C12="Descanso"),"",IFERROR(ROUND((VLOOKUP(C12,Ejercicios!$B$8:$E$17,3,0)+VLOOKUP(C12,Ejercicios!$B$8:$E$17,4,0)*(L12-1))*Panel!$C$6,0),""))</f>
        <v/>
      </c>
      <c r="E12" s="28">
        <f>IF(OR(C12="",C12="Descanso"),"",IFERROR(VLOOKUP(C12,Ejercicios!$B$8:$E$17,2,0),""))</f>
        <v/>
      </c>
      <c r="F12" s="29" t="n">
        <v>10</v>
      </c>
      <c r="G12" s="30">
        <f>IF(OR(D12="",F12=""),"",IFERROR(F12/D12,0))</f>
        <v/>
      </c>
      <c r="H12" s="28">
        <f>IF(C12="","",IF(C12="Descanso","Descanso",IF(OR(F12="",D12=""),"Pendiente",IF(G12&gt;=1,"Completado",IF(G12&gt;=Panel!$C$7,"Parcial","Fallado")))))</f>
        <v/>
      </c>
      <c r="I12" s="27">
        <f>IF(OR(H12="",H12="Pendiente"),"",IF(H12="Descanso",N(I11),IF(H12="Completado",N(I11)+1,0)))</f>
        <v/>
      </c>
      <c r="J12" s="31">
        <f>Panel!$C$5+K12-1</f>
        <v/>
      </c>
      <c r="K12" s="27" t="n">
        <v>5</v>
      </c>
      <c r="L12" s="27">
        <f>INT((K12-1)/7)+1</f>
        <v/>
      </c>
      <c r="M12" s="28">
        <f>MID("LunMarMiéJueVieSábDom",(WEEKDAY(J12,2)-1)*3+1,3)</f>
        <v/>
      </c>
      <c r="N12" s="27">
        <f>IF(OR(H12="",H12="Pendiente"),"",COUNTIF(H$8:H12,"Completado"))</f>
        <v/>
      </c>
      <c r="O12" s="26" t="n"/>
    </row>
    <row r="13">
      <c r="B13" s="25" t="inlineStr">
        <is>
          <t>Día 6</t>
        </is>
      </c>
      <c r="C13" s="26" t="inlineStr">
        <is>
          <t>Burpees</t>
        </is>
      </c>
      <c r="D13" s="27">
        <f>IF(OR(C13="",C13="Descanso"),"",IFERROR(ROUND((VLOOKUP(C13,Ejercicios!$B$8:$E$17,3,0)+VLOOKUP(C13,Ejercicios!$B$8:$E$17,4,0)*(L13-1))*Panel!$C$6,0),""))</f>
        <v/>
      </c>
      <c r="E13" s="28">
        <f>IF(OR(C13="",C13="Descanso"),"",IFERROR(VLOOKUP(C13,Ejercicios!$B$8:$E$17,2,0),""))</f>
        <v/>
      </c>
      <c r="F13" s="29" t="n">
        <v>5</v>
      </c>
      <c r="G13" s="30">
        <f>IF(OR(D13="",F13=""),"",IFERROR(F13/D13,0))</f>
        <v/>
      </c>
      <c r="H13" s="28">
        <f>IF(C13="","",IF(C13="Descanso","Descanso",IF(OR(F13="",D13=""),"Pendiente",IF(G13&gt;=1,"Completado",IF(G13&gt;=Panel!$C$7,"Parcial","Fallado")))))</f>
        <v/>
      </c>
      <c r="I13" s="27">
        <f>IF(OR(H13="",H13="Pendiente"),"",IF(H13="Descanso",N(I12),IF(H13="Completado",N(I12)+1,0)))</f>
        <v/>
      </c>
      <c r="J13" s="31">
        <f>Panel!$C$5+K13-1</f>
        <v/>
      </c>
      <c r="K13" s="27" t="n">
        <v>6</v>
      </c>
      <c r="L13" s="27">
        <f>INT((K13-1)/7)+1</f>
        <v/>
      </c>
      <c r="M13" s="28">
        <f>MID("LunMarMiéJueVieSábDom",(WEEKDAY(J13,2)-1)*3+1,3)</f>
        <v/>
      </c>
      <c r="N13" s="27">
        <f>IF(OR(H13="",H13="Pendiente"),"",COUNTIF(H$8:H13,"Completado"))</f>
        <v/>
      </c>
      <c r="O13" s="26" t="n"/>
    </row>
    <row r="14">
      <c r="B14" s="25" t="inlineStr">
        <is>
          <t>Día 7</t>
        </is>
      </c>
      <c r="C14" s="26" t="inlineStr">
        <is>
          <t>Descanso</t>
        </is>
      </c>
      <c r="D14" s="27">
        <f>IF(OR(C14="",C14="Descanso"),"",IFERROR(ROUND((VLOOKUP(C14,Ejercicios!$B$8:$E$17,3,0)+VLOOKUP(C14,Ejercicios!$B$8:$E$17,4,0)*(L14-1))*Panel!$C$6,0),""))</f>
        <v/>
      </c>
      <c r="E14" s="28">
        <f>IF(OR(C14="",C14="Descanso"),"",IFERROR(VLOOKUP(C14,Ejercicios!$B$8:$E$17,2,0),""))</f>
        <v/>
      </c>
      <c r="F14" s="29" t="n"/>
      <c r="G14" s="30">
        <f>IF(OR(D14="",F14=""),"",IFERROR(F14/D14,0))</f>
        <v/>
      </c>
      <c r="H14" s="28">
        <f>IF(C14="","",IF(C14="Descanso","Descanso",IF(OR(F14="",D14=""),"Pendiente",IF(G14&gt;=1,"Completado",IF(G14&gt;=Panel!$C$7,"Parcial","Fallado")))))</f>
        <v/>
      </c>
      <c r="I14" s="27">
        <f>IF(OR(H14="",H14="Pendiente"),"",IF(H14="Descanso",N(I13),IF(H14="Completado",N(I13)+1,0)))</f>
        <v/>
      </c>
      <c r="J14" s="31">
        <f>Panel!$C$5+K14-1</f>
        <v/>
      </c>
      <c r="K14" s="27" t="n">
        <v>7</v>
      </c>
      <c r="L14" s="27">
        <f>INT((K14-1)/7)+1</f>
        <v/>
      </c>
      <c r="M14" s="28">
        <f>MID("LunMarMiéJueVieSábDom",(WEEKDAY(J14,2)-1)*3+1,3)</f>
        <v/>
      </c>
      <c r="N14" s="27">
        <f>IF(OR(H14="",H14="Pendiente"),"",COUNTIF(H$8:H14,"Completado"))</f>
        <v/>
      </c>
      <c r="O14" s="26" t="n"/>
    </row>
    <row r="15">
      <c r="B15" s="25" t="inlineStr">
        <is>
          <t>Día 8</t>
        </is>
      </c>
      <c r="C15" s="26" t="inlineStr">
        <is>
          <t>Sentadillas</t>
        </is>
      </c>
      <c r="D15" s="27">
        <f>IF(OR(C15="",C15="Descanso"),"",IFERROR(ROUND((VLOOKUP(C15,Ejercicios!$B$8:$E$17,3,0)+VLOOKUP(C15,Ejercicios!$B$8:$E$17,4,0)*(L15-1))*Panel!$C$6,0),""))</f>
        <v/>
      </c>
      <c r="E15" s="28">
        <f>IF(OR(C15="",C15="Descanso"),"",IFERROR(VLOOKUP(C15,Ejercicios!$B$8:$E$17,2,0),""))</f>
        <v/>
      </c>
      <c r="F15" s="29" t="n">
        <v>18</v>
      </c>
      <c r="G15" s="30">
        <f>IF(OR(D15="",F15=""),"",IFERROR(F15/D15,0))</f>
        <v/>
      </c>
      <c r="H15" s="28">
        <f>IF(C15="","",IF(C15="Descanso","Descanso",IF(OR(F15="",D15=""),"Pendiente",IF(G15&gt;=1,"Completado",IF(G15&gt;=Panel!$C$7,"Parcial","Fallado")))))</f>
        <v/>
      </c>
      <c r="I15" s="27">
        <f>IF(OR(H15="",H15="Pendiente"),"",IF(H15="Descanso",N(I14),IF(H15="Completado",N(I14)+1,0)))</f>
        <v/>
      </c>
      <c r="J15" s="31">
        <f>Panel!$C$5+K15-1</f>
        <v/>
      </c>
      <c r="K15" s="27" t="n">
        <v>8</v>
      </c>
      <c r="L15" s="27">
        <f>INT((K15-1)/7)+1</f>
        <v/>
      </c>
      <c r="M15" s="28">
        <f>MID("LunMarMiéJueVieSábDom",(WEEKDAY(J15,2)-1)*3+1,3)</f>
        <v/>
      </c>
      <c r="N15" s="27">
        <f>IF(OR(H15="",H15="Pendiente"),"",COUNTIF(H$8:H15,"Completado"))</f>
        <v/>
      </c>
      <c r="O15" s="26" t="n"/>
    </row>
    <row r="16">
      <c r="B16" s="25" t="inlineStr">
        <is>
          <t>Día 9</t>
        </is>
      </c>
      <c r="C16" s="26" t="inlineStr">
        <is>
          <t>Flexiones</t>
        </is>
      </c>
      <c r="D16" s="27">
        <f>IF(OR(C16="",C16="Descanso"),"",IFERROR(ROUND((VLOOKUP(C16,Ejercicios!$B$8:$E$17,3,0)+VLOOKUP(C16,Ejercicios!$B$8:$E$17,4,0)*(L16-1))*Panel!$C$6,0),""))</f>
        <v/>
      </c>
      <c r="E16" s="28">
        <f>IF(OR(C16="",C16="Descanso"),"",IFERROR(VLOOKUP(C16,Ejercicios!$B$8:$E$17,2,0),""))</f>
        <v/>
      </c>
      <c r="F16" s="29" t="n">
        <v>6</v>
      </c>
      <c r="G16" s="30">
        <f>IF(OR(D16="",F16=""),"",IFERROR(F16/D16,0))</f>
        <v/>
      </c>
      <c r="H16" s="28">
        <f>IF(C16="","",IF(C16="Descanso","Descanso",IF(OR(F16="",D16=""),"Pendiente",IF(G16&gt;=1,"Completado",IF(G16&gt;=Panel!$C$7,"Parcial","Fallado")))))</f>
        <v/>
      </c>
      <c r="I16" s="27">
        <f>IF(OR(H16="",H16="Pendiente"),"",IF(H16="Descanso",N(I15),IF(H16="Completado",N(I15)+1,0)))</f>
        <v/>
      </c>
      <c r="J16" s="31">
        <f>Panel!$C$5+K16-1</f>
        <v/>
      </c>
      <c r="K16" s="27" t="n">
        <v>9</v>
      </c>
      <c r="L16" s="27">
        <f>INT((K16-1)/7)+1</f>
        <v/>
      </c>
      <c r="M16" s="28">
        <f>MID("LunMarMiéJueVieSábDom",(WEEKDAY(J16,2)-1)*3+1,3)</f>
        <v/>
      </c>
      <c r="N16" s="27">
        <f>IF(OR(H16="",H16="Pendiente"),"",COUNTIF(H$8:H16,"Completado"))</f>
        <v/>
      </c>
      <c r="O16" s="26" t="inlineStr">
        <is>
          <t>Cansancio, paré antes</t>
        </is>
      </c>
    </row>
    <row r="17">
      <c r="B17" s="25" t="inlineStr">
        <is>
          <t>Día 10</t>
        </is>
      </c>
      <c r="C17" s="26" t="inlineStr">
        <is>
          <t>Abdominales</t>
        </is>
      </c>
      <c r="D17" s="27">
        <f>IF(OR(C17="",C17="Descanso"),"",IFERROR(ROUND((VLOOKUP(C17,Ejercicios!$B$8:$E$17,3,0)+VLOOKUP(C17,Ejercicios!$B$8:$E$17,4,0)*(L17-1))*Panel!$C$6,0),""))</f>
        <v/>
      </c>
      <c r="E17" s="28">
        <f>IF(OR(C17="",C17="Descanso"),"",IFERROR(VLOOKUP(C17,Ejercicios!$B$8:$E$17,2,0),""))</f>
        <v/>
      </c>
      <c r="F17" s="29" t="n">
        <v>18</v>
      </c>
      <c r="G17" s="30">
        <f>IF(OR(D17="",F17=""),"",IFERROR(F17/D17,0))</f>
        <v/>
      </c>
      <c r="H17" s="28">
        <f>IF(C17="","",IF(C17="Descanso","Descanso",IF(OR(F17="",D17=""),"Pendiente",IF(G17&gt;=1,"Completado",IF(G17&gt;=Panel!$C$7,"Parcial","Fallado")))))</f>
        <v/>
      </c>
      <c r="I17" s="27">
        <f>IF(OR(H17="",H17="Pendiente"),"",IF(H17="Descanso",N(I16),IF(H17="Completado",N(I16)+1,0)))</f>
        <v/>
      </c>
      <c r="J17" s="31">
        <f>Panel!$C$5+K17-1</f>
        <v/>
      </c>
      <c r="K17" s="27" t="n">
        <v>10</v>
      </c>
      <c r="L17" s="27">
        <f>INT((K17-1)/7)+1</f>
        <v/>
      </c>
      <c r="M17" s="28">
        <f>MID("LunMarMiéJueVieSábDom",(WEEKDAY(J17,2)-1)*3+1,3)</f>
        <v/>
      </c>
      <c r="N17" s="27">
        <f>IF(OR(H17="",H17="Pendiente"),"",COUNTIF(H$8:H17,"Completado"))</f>
        <v/>
      </c>
      <c r="O17" s="26" t="n"/>
    </row>
    <row r="18">
      <c r="B18" s="25" t="inlineStr">
        <is>
          <t>Día 11</t>
        </is>
      </c>
      <c r="C18" s="26" t="inlineStr">
        <is>
          <t>Plancha</t>
        </is>
      </c>
      <c r="D18" s="27">
        <f>IF(OR(C18="",C18="Descanso"),"",IFERROR(ROUND((VLOOKUP(C18,Ejercicios!$B$8:$E$17,3,0)+VLOOKUP(C18,Ejercicios!$B$8:$E$17,4,0)*(L18-1))*Panel!$C$6,0),""))</f>
        <v/>
      </c>
      <c r="E18" s="28">
        <f>IF(OR(C18="",C18="Descanso"),"",IFERROR(VLOOKUP(C18,Ejercicios!$B$8:$E$17,2,0),""))</f>
        <v/>
      </c>
      <c r="F18" s="29" t="n">
        <v>25</v>
      </c>
      <c r="G18" s="30">
        <f>IF(OR(D18="",F18=""),"",IFERROR(F18/D18,0))</f>
        <v/>
      </c>
      <c r="H18" s="28">
        <f>IF(C18="","",IF(C18="Descanso","Descanso",IF(OR(F18="",D18=""),"Pendiente",IF(G18&gt;=1,"Completado",IF(G18&gt;=Panel!$C$7,"Parcial","Fallado")))))</f>
        <v/>
      </c>
      <c r="I18" s="27">
        <f>IF(OR(H18="",H18="Pendiente"),"",IF(H18="Descanso",N(I17),IF(H18="Completado",N(I17)+1,0)))</f>
        <v/>
      </c>
      <c r="J18" s="31">
        <f>Panel!$C$5+K18-1</f>
        <v/>
      </c>
      <c r="K18" s="27" t="n">
        <v>11</v>
      </c>
      <c r="L18" s="27">
        <f>INT((K18-1)/7)+1</f>
        <v/>
      </c>
      <c r="M18" s="28">
        <f>MID("LunMarMiéJueVieSábDom",(WEEKDAY(J18,2)-1)*3+1,3)</f>
        <v/>
      </c>
      <c r="N18" s="27">
        <f>IF(OR(H18="",H18="Pendiente"),"",COUNTIF(H$8:H18,"Completado"))</f>
        <v/>
      </c>
      <c r="O18" s="26" t="n"/>
    </row>
    <row r="19">
      <c r="B19" s="25" t="inlineStr">
        <is>
          <t>Día 12</t>
        </is>
      </c>
      <c r="C19" s="26" t="inlineStr">
        <is>
          <t>Zancadas</t>
        </is>
      </c>
      <c r="D19" s="27">
        <f>IF(OR(C19="",C19="Descanso"),"",IFERROR(ROUND((VLOOKUP(C19,Ejercicios!$B$8:$E$17,3,0)+VLOOKUP(C19,Ejercicios!$B$8:$E$17,4,0)*(L19-1))*Panel!$C$6,0),""))</f>
        <v/>
      </c>
      <c r="E19" s="28">
        <f>IF(OR(C19="",C19="Descanso"),"",IFERROR(VLOOKUP(C19,Ejercicios!$B$8:$E$17,2,0),""))</f>
        <v/>
      </c>
      <c r="F19" s="29" t="n">
        <v>12</v>
      </c>
      <c r="G19" s="30">
        <f>IF(OR(D19="",F19=""),"",IFERROR(F19/D19,0))</f>
        <v/>
      </c>
      <c r="H19" s="28">
        <f>IF(C19="","",IF(C19="Descanso","Descanso",IF(OR(F19="",D19=""),"Pendiente",IF(G19&gt;=1,"Completado",IF(G19&gt;=Panel!$C$7,"Parcial","Fallado")))))</f>
        <v/>
      </c>
      <c r="I19" s="27">
        <f>IF(OR(H19="",H19="Pendiente"),"",IF(H19="Descanso",N(I18),IF(H19="Completado",N(I18)+1,0)))</f>
        <v/>
      </c>
      <c r="J19" s="31">
        <f>Panel!$C$5+K19-1</f>
        <v/>
      </c>
      <c r="K19" s="27" t="n">
        <v>12</v>
      </c>
      <c r="L19" s="27">
        <f>INT((K19-1)/7)+1</f>
        <v/>
      </c>
      <c r="M19" s="28">
        <f>MID("LunMarMiéJueVieSábDom",(WEEKDAY(J19,2)-1)*3+1,3)</f>
        <v/>
      </c>
      <c r="N19" s="27">
        <f>IF(OR(H19="",H19="Pendiente"),"",COUNTIF(H$8:H19,"Completado"))</f>
        <v/>
      </c>
      <c r="O19" s="26" t="n"/>
    </row>
    <row r="20">
      <c r="B20" s="25" t="inlineStr">
        <is>
          <t>Día 13</t>
        </is>
      </c>
      <c r="C20" s="26" t="inlineStr">
        <is>
          <t>Burpees</t>
        </is>
      </c>
      <c r="D20" s="27">
        <f>IF(OR(C20="",C20="Descanso"),"",IFERROR(ROUND((VLOOKUP(C20,Ejercicios!$B$8:$E$17,3,0)+VLOOKUP(C20,Ejercicios!$B$8:$E$17,4,0)*(L20-1))*Panel!$C$6,0),""))</f>
        <v/>
      </c>
      <c r="E20" s="28">
        <f>IF(OR(C20="",C20="Descanso"),"",IFERROR(VLOOKUP(C20,Ejercicios!$B$8:$E$17,2,0),""))</f>
        <v/>
      </c>
      <c r="F20" s="29" t="n">
        <v>6</v>
      </c>
      <c r="G20" s="30">
        <f>IF(OR(D20="",F20=""),"",IFERROR(F20/D20,0))</f>
        <v/>
      </c>
      <c r="H20" s="28">
        <f>IF(C20="","",IF(C20="Descanso","Descanso",IF(OR(F20="",D20=""),"Pendiente",IF(G20&gt;=1,"Completado",IF(G20&gt;=Panel!$C$7,"Parcial","Fallado")))))</f>
        <v/>
      </c>
      <c r="I20" s="27">
        <f>IF(OR(H20="",H20="Pendiente"),"",IF(H20="Descanso",N(I19),IF(H20="Completado",N(I19)+1,0)))</f>
        <v/>
      </c>
      <c r="J20" s="31">
        <f>Panel!$C$5+K20-1</f>
        <v/>
      </c>
      <c r="K20" s="27" t="n">
        <v>13</v>
      </c>
      <c r="L20" s="27">
        <f>INT((K20-1)/7)+1</f>
        <v/>
      </c>
      <c r="M20" s="28">
        <f>MID("LunMarMiéJueVieSábDom",(WEEKDAY(J20,2)-1)*3+1,3)</f>
        <v/>
      </c>
      <c r="N20" s="27">
        <f>IF(OR(H20="",H20="Pendiente"),"",COUNTIF(H$8:H20,"Completado"))</f>
        <v/>
      </c>
      <c r="O20" s="26" t="inlineStr">
        <is>
          <t>Burpees duros</t>
        </is>
      </c>
    </row>
    <row r="21">
      <c r="B21" s="25" t="inlineStr">
        <is>
          <t>Día 14</t>
        </is>
      </c>
      <c r="C21" s="26" t="inlineStr">
        <is>
          <t>Descanso</t>
        </is>
      </c>
      <c r="D21" s="27">
        <f>IF(OR(C21="",C21="Descanso"),"",IFERROR(ROUND((VLOOKUP(C21,Ejercicios!$B$8:$E$17,3,0)+VLOOKUP(C21,Ejercicios!$B$8:$E$17,4,0)*(L21-1))*Panel!$C$6,0),""))</f>
        <v/>
      </c>
      <c r="E21" s="28">
        <f>IF(OR(C21="",C21="Descanso"),"",IFERROR(VLOOKUP(C21,Ejercicios!$B$8:$E$17,2,0),""))</f>
        <v/>
      </c>
      <c r="F21" s="29" t="n"/>
      <c r="G21" s="30">
        <f>IF(OR(D21="",F21=""),"",IFERROR(F21/D21,0))</f>
        <v/>
      </c>
      <c r="H21" s="28">
        <f>IF(C21="","",IF(C21="Descanso","Descanso",IF(OR(F21="",D21=""),"Pendiente",IF(G21&gt;=1,"Completado",IF(G21&gt;=Panel!$C$7,"Parcial","Fallado")))))</f>
        <v/>
      </c>
      <c r="I21" s="27">
        <f>IF(OR(H21="",H21="Pendiente"),"",IF(H21="Descanso",N(I20),IF(H21="Completado",N(I20)+1,0)))</f>
        <v/>
      </c>
      <c r="J21" s="31">
        <f>Panel!$C$5+K21-1</f>
        <v/>
      </c>
      <c r="K21" s="27" t="n">
        <v>14</v>
      </c>
      <c r="L21" s="27">
        <f>INT((K21-1)/7)+1</f>
        <v/>
      </c>
      <c r="M21" s="28">
        <f>MID("LunMarMiéJueVieSábDom",(WEEKDAY(J21,2)-1)*3+1,3)</f>
        <v/>
      </c>
      <c r="N21" s="27">
        <f>IF(OR(H21="",H21="Pendiente"),"",COUNTIF(H$8:H21,"Completado"))</f>
        <v/>
      </c>
      <c r="O21" s="26" t="n"/>
    </row>
    <row r="22">
      <c r="B22" s="25" t="inlineStr">
        <is>
          <t>Día 15</t>
        </is>
      </c>
      <c r="C22" s="26" t="inlineStr">
        <is>
          <t>Sentadillas</t>
        </is>
      </c>
      <c r="D22" s="27">
        <f>IF(OR(C22="",C22="Descanso"),"",IFERROR(ROUND((VLOOKUP(C22,Ejercicios!$B$8:$E$17,3,0)+VLOOKUP(C22,Ejercicios!$B$8:$E$17,4,0)*(L22-1))*Panel!$C$6,0),""))</f>
        <v/>
      </c>
      <c r="E22" s="28">
        <f>IF(OR(C22="",C22="Descanso"),"",IFERROR(VLOOKUP(C22,Ejercicios!$B$8:$E$17,2,0),""))</f>
        <v/>
      </c>
      <c r="F22" s="29" t="n">
        <v>21</v>
      </c>
      <c r="G22" s="30">
        <f>IF(OR(D22="",F22=""),"",IFERROR(F22/D22,0))</f>
        <v/>
      </c>
      <c r="H22" s="28">
        <f>IF(C22="","",IF(C22="Descanso","Descanso",IF(OR(F22="",D22=""),"Pendiente",IF(G22&gt;=1,"Completado",IF(G22&gt;=Panel!$C$7,"Parcial","Fallado")))))</f>
        <v/>
      </c>
      <c r="I22" s="27">
        <f>IF(OR(H22="",H22="Pendiente"),"",IF(H22="Descanso",N(I21),IF(H22="Completado",N(I21)+1,0)))</f>
        <v/>
      </c>
      <c r="J22" s="31">
        <f>Panel!$C$5+K22-1</f>
        <v/>
      </c>
      <c r="K22" s="27" t="n">
        <v>15</v>
      </c>
      <c r="L22" s="27">
        <f>INT((K22-1)/7)+1</f>
        <v/>
      </c>
      <c r="M22" s="28">
        <f>MID("LunMarMiéJueVieSábDom",(WEEKDAY(J22,2)-1)*3+1,3)</f>
        <v/>
      </c>
      <c r="N22" s="27">
        <f>IF(OR(H22="",H22="Pendiente"),"",COUNTIF(H$8:H22,"Completado"))</f>
        <v/>
      </c>
      <c r="O22" s="26" t="n"/>
    </row>
    <row r="23">
      <c r="B23" s="25" t="inlineStr">
        <is>
          <t>Día 16</t>
        </is>
      </c>
      <c r="C23" s="26" t="inlineStr">
        <is>
          <t>Flexiones</t>
        </is>
      </c>
      <c r="D23" s="27">
        <f>IF(OR(C23="",C23="Descanso"),"",IFERROR(ROUND((VLOOKUP(C23,Ejercicios!$B$8:$E$17,3,0)+VLOOKUP(C23,Ejercicios!$B$8:$E$17,4,0)*(L23-1))*Panel!$C$6,0),""))</f>
        <v/>
      </c>
      <c r="E23" s="28">
        <f>IF(OR(C23="",C23="Descanso"),"",IFERROR(VLOOKUP(C23,Ejercicios!$B$8:$E$17,2,0),""))</f>
        <v/>
      </c>
      <c r="F23" s="29" t="n">
        <v>4</v>
      </c>
      <c r="G23" s="30">
        <f>IF(OR(D23="",F23=""),"",IFERROR(F23/D23,0))</f>
        <v/>
      </c>
      <c r="H23" s="28">
        <f>IF(C23="","",IF(C23="Descanso","Descanso",IF(OR(F23="",D23=""),"Pendiente",IF(G23&gt;=1,"Completado",IF(G23&gt;=Panel!$C$7,"Parcial","Fallado")))))</f>
        <v/>
      </c>
      <c r="I23" s="27">
        <f>IF(OR(H23="",H23="Pendiente"),"",IF(H23="Descanso",N(I22),IF(H23="Completado",N(I22)+1,0)))</f>
        <v/>
      </c>
      <c r="J23" s="31">
        <f>Panel!$C$5+K23-1</f>
        <v/>
      </c>
      <c r="K23" s="27" t="n">
        <v>16</v>
      </c>
      <c r="L23" s="27">
        <f>INT((K23-1)/7)+1</f>
        <v/>
      </c>
      <c r="M23" s="28">
        <f>MID("LunMarMiéJueVieSábDom",(WEEKDAY(J23,2)-1)*3+1,3)</f>
        <v/>
      </c>
      <c r="N23" s="27">
        <f>IF(OR(H23="",H23="Pendiente"),"",COUNTIF(H$8:H23,"Completado"))</f>
        <v/>
      </c>
      <c r="O23" s="26" t="inlineStr">
        <is>
          <t>Mala noche, solo 4 flexiones</t>
        </is>
      </c>
    </row>
    <row r="24">
      <c r="B24" s="25" t="inlineStr">
        <is>
          <t>Día 17</t>
        </is>
      </c>
      <c r="C24" s="26" t="inlineStr">
        <is>
          <t>Abdominales</t>
        </is>
      </c>
      <c r="D24" s="27">
        <f>IF(OR(C24="",C24="Descanso"),"",IFERROR(ROUND((VLOOKUP(C24,Ejercicios!$B$8:$E$17,3,0)+VLOOKUP(C24,Ejercicios!$B$8:$E$17,4,0)*(L24-1))*Panel!$C$6,0),""))</f>
        <v/>
      </c>
      <c r="E24" s="28">
        <f>IF(OR(C24="",C24="Descanso"),"",IFERROR(VLOOKUP(C24,Ejercicios!$B$8:$E$17,2,0),""))</f>
        <v/>
      </c>
      <c r="F24" s="29" t="n">
        <v>21</v>
      </c>
      <c r="G24" s="30">
        <f>IF(OR(D24="",F24=""),"",IFERROR(F24/D24,0))</f>
        <v/>
      </c>
      <c r="H24" s="28">
        <f>IF(C24="","",IF(C24="Descanso","Descanso",IF(OR(F24="",D24=""),"Pendiente",IF(G24&gt;=1,"Completado",IF(G24&gt;=Panel!$C$7,"Parcial","Fallado")))))</f>
        <v/>
      </c>
      <c r="I24" s="27">
        <f>IF(OR(H24="",H24="Pendiente"),"",IF(H24="Descanso",N(I23),IF(H24="Completado",N(I23)+1,0)))</f>
        <v/>
      </c>
      <c r="J24" s="31">
        <f>Panel!$C$5+K24-1</f>
        <v/>
      </c>
      <c r="K24" s="27" t="n">
        <v>17</v>
      </c>
      <c r="L24" s="27">
        <f>INT((K24-1)/7)+1</f>
        <v/>
      </c>
      <c r="M24" s="28">
        <f>MID("LunMarMiéJueVieSábDom",(WEEKDAY(J24,2)-1)*3+1,3)</f>
        <v/>
      </c>
      <c r="N24" s="27">
        <f>IF(OR(H24="",H24="Pendiente"),"",COUNTIF(H$8:H24,"Completado"))</f>
        <v/>
      </c>
      <c r="O24" s="26" t="n"/>
    </row>
    <row r="25">
      <c r="B25" s="25" t="inlineStr">
        <is>
          <t>Día 18</t>
        </is>
      </c>
      <c r="C25" s="26" t="inlineStr">
        <is>
          <t>Plancha</t>
        </is>
      </c>
      <c r="D25" s="27">
        <f>IF(OR(C25="",C25="Descanso"),"",IFERROR(ROUND((VLOOKUP(C25,Ejercicios!$B$8:$E$17,3,0)+VLOOKUP(C25,Ejercicios!$B$8:$E$17,4,0)*(L25-1))*Panel!$C$6,0),""))</f>
        <v/>
      </c>
      <c r="E25" s="28">
        <f>IF(OR(C25="",C25="Descanso"),"",IFERROR(VLOOKUP(C25,Ejercicios!$B$8:$E$17,2,0),""))</f>
        <v/>
      </c>
      <c r="F25" s="29" t="n">
        <v>30</v>
      </c>
      <c r="G25" s="30">
        <f>IF(OR(D25="",F25=""),"",IFERROR(F25/D25,0))</f>
        <v/>
      </c>
      <c r="H25" s="28">
        <f>IF(C25="","",IF(C25="Descanso","Descanso",IF(OR(F25="",D25=""),"Pendiente",IF(G25&gt;=1,"Completado",IF(G25&gt;=Panel!$C$7,"Parcial","Fallado")))))</f>
        <v/>
      </c>
      <c r="I25" s="27">
        <f>IF(OR(H25="",H25="Pendiente"),"",IF(H25="Descanso",N(I24),IF(H25="Completado",N(I24)+1,0)))</f>
        <v/>
      </c>
      <c r="J25" s="31">
        <f>Panel!$C$5+K25-1</f>
        <v/>
      </c>
      <c r="K25" s="27" t="n">
        <v>18</v>
      </c>
      <c r="L25" s="27">
        <f>INT((K25-1)/7)+1</f>
        <v/>
      </c>
      <c r="M25" s="28">
        <f>MID("LunMarMiéJueVieSábDom",(WEEKDAY(J25,2)-1)*3+1,3)</f>
        <v/>
      </c>
      <c r="N25" s="27">
        <f>IF(OR(H25="",H25="Pendiente"),"",COUNTIF(H$8:H25,"Completado"))</f>
        <v/>
      </c>
      <c r="O25" s="26" t="inlineStr">
        <is>
          <t>Plancha a ratos de 10 s</t>
        </is>
      </c>
    </row>
    <row r="26">
      <c r="B26" s="25" t="inlineStr">
        <is>
          <t>Día 19</t>
        </is>
      </c>
      <c r="C26" s="26" t="inlineStr">
        <is>
          <t>Zancadas</t>
        </is>
      </c>
      <c r="D26" s="27">
        <f>IF(OR(C26="",C26="Descanso"),"",IFERROR(ROUND((VLOOKUP(C26,Ejercicios!$B$8:$E$17,3,0)+VLOOKUP(C26,Ejercicios!$B$8:$E$17,4,0)*(L26-1))*Panel!$C$6,0),""))</f>
        <v/>
      </c>
      <c r="E26" s="28">
        <f>IF(OR(C26="",C26="Descanso"),"",IFERROR(VLOOKUP(C26,Ejercicios!$B$8:$E$17,2,0),""))</f>
        <v/>
      </c>
      <c r="F26" s="29" t="n">
        <v>14</v>
      </c>
      <c r="G26" s="30">
        <f>IF(OR(D26="",F26=""),"",IFERROR(F26/D26,0))</f>
        <v/>
      </c>
      <c r="H26" s="28">
        <f>IF(C26="","",IF(C26="Descanso","Descanso",IF(OR(F26="",D26=""),"Pendiente",IF(G26&gt;=1,"Completado",IF(G26&gt;=Panel!$C$7,"Parcial","Fallado")))))</f>
        <v/>
      </c>
      <c r="I26" s="27">
        <f>IF(OR(H26="",H26="Pendiente"),"",IF(H26="Descanso",N(I25),IF(H26="Completado",N(I25)+1,0)))</f>
        <v/>
      </c>
      <c r="J26" s="31">
        <f>Panel!$C$5+K26-1</f>
        <v/>
      </c>
      <c r="K26" s="27" t="n">
        <v>19</v>
      </c>
      <c r="L26" s="27">
        <f>INT((K26-1)/7)+1</f>
        <v/>
      </c>
      <c r="M26" s="28">
        <f>MID("LunMarMiéJueVieSábDom",(WEEKDAY(J26,2)-1)*3+1,3)</f>
        <v/>
      </c>
      <c r="N26" s="27">
        <f>IF(OR(H26="",H26="Pendiente"),"",COUNTIF(H$8:H26,"Completado"))</f>
        <v/>
      </c>
      <c r="O26" s="26" t="n"/>
    </row>
    <row r="27">
      <c r="B27" s="25" t="inlineStr">
        <is>
          <t>Día 20</t>
        </is>
      </c>
      <c r="C27" s="26" t="inlineStr">
        <is>
          <t>Burpees</t>
        </is>
      </c>
      <c r="D27" s="27">
        <f>IF(OR(C27="",C27="Descanso"),"",IFERROR(ROUND((VLOOKUP(C27,Ejercicios!$B$8:$E$17,3,0)+VLOOKUP(C27,Ejercicios!$B$8:$E$17,4,0)*(L27-1))*Panel!$C$6,0),""))</f>
        <v/>
      </c>
      <c r="E27" s="28">
        <f>IF(OR(C27="",C27="Descanso"),"",IFERROR(VLOOKUP(C27,Ejercicios!$B$8:$E$17,2,0),""))</f>
        <v/>
      </c>
      <c r="F27" s="29" t="n">
        <v>8</v>
      </c>
      <c r="G27" s="30">
        <f>IF(OR(D27="",F27=""),"",IFERROR(F27/D27,0))</f>
        <v/>
      </c>
      <c r="H27" s="28">
        <f>IF(C27="","",IF(C27="Descanso","Descanso",IF(OR(F27="",D27=""),"Pendiente",IF(G27&gt;=1,"Completado",IF(G27&gt;=Panel!$C$7,"Parcial","Fallado")))))</f>
        <v/>
      </c>
      <c r="I27" s="27">
        <f>IF(OR(H27="",H27="Pendiente"),"",IF(H27="Descanso",N(I26),IF(H27="Completado",N(I26)+1,0)))</f>
        <v/>
      </c>
      <c r="J27" s="31">
        <f>Panel!$C$5+K27-1</f>
        <v/>
      </c>
      <c r="K27" s="27" t="n">
        <v>20</v>
      </c>
      <c r="L27" s="27">
        <f>INT((K27-1)/7)+1</f>
        <v/>
      </c>
      <c r="M27" s="28">
        <f>MID("LunMarMiéJueVieSábDom",(WEEKDAY(J27,2)-1)*3+1,3)</f>
        <v/>
      </c>
      <c r="N27" s="27">
        <f>IF(OR(H27="",H27="Pendiente"),"",COUNTIF(H$8:H27,"Completado"))</f>
        <v/>
      </c>
      <c r="O27" s="26" t="inlineStr">
        <is>
          <t>Racha en marcha</t>
        </is>
      </c>
    </row>
    <row r="28">
      <c r="B28" s="25" t="inlineStr">
        <is>
          <t>Día 21</t>
        </is>
      </c>
      <c r="C28" s="26" t="inlineStr">
        <is>
          <t>Descanso</t>
        </is>
      </c>
      <c r="D28" s="27">
        <f>IF(OR(C28="",C28="Descanso"),"",IFERROR(ROUND((VLOOKUP(C28,Ejercicios!$B$8:$E$17,3,0)+VLOOKUP(C28,Ejercicios!$B$8:$E$17,4,0)*(L28-1))*Panel!$C$6,0),""))</f>
        <v/>
      </c>
      <c r="E28" s="28">
        <f>IF(OR(C28="",C28="Descanso"),"",IFERROR(VLOOKUP(C28,Ejercicios!$B$8:$E$17,2,0),""))</f>
        <v/>
      </c>
      <c r="F28" s="29" t="n"/>
      <c r="G28" s="30">
        <f>IF(OR(D28="",F28=""),"",IFERROR(F28/D28,0))</f>
        <v/>
      </c>
      <c r="H28" s="28">
        <f>IF(C28="","",IF(C28="Descanso","Descanso",IF(OR(F28="",D28=""),"Pendiente",IF(G28&gt;=1,"Completado",IF(G28&gt;=Panel!$C$7,"Parcial","Fallado")))))</f>
        <v/>
      </c>
      <c r="I28" s="27">
        <f>IF(OR(H28="",H28="Pendiente"),"",IF(H28="Descanso",N(I27),IF(H28="Completado",N(I27)+1,0)))</f>
        <v/>
      </c>
      <c r="J28" s="31">
        <f>Panel!$C$5+K28-1</f>
        <v/>
      </c>
      <c r="K28" s="27" t="n">
        <v>21</v>
      </c>
      <c r="L28" s="27">
        <f>INT((K28-1)/7)+1</f>
        <v/>
      </c>
      <c r="M28" s="28">
        <f>MID("LunMarMiéJueVieSábDom",(WEEKDAY(J28,2)-1)*3+1,3)</f>
        <v/>
      </c>
      <c r="N28" s="27">
        <f>IF(OR(H28="",H28="Pendiente"),"",COUNTIF(H$8:H28,"Completado"))</f>
        <v/>
      </c>
      <c r="O28" s="26" t="n"/>
    </row>
    <row r="29">
      <c r="B29" s="25" t="inlineStr">
        <is>
          <t>Día 22</t>
        </is>
      </c>
      <c r="C29" s="26" t="inlineStr">
        <is>
          <t>Sentadillas</t>
        </is>
      </c>
      <c r="D29" s="27">
        <f>IF(OR(C29="",C29="Descanso"),"",IFERROR(ROUND((VLOOKUP(C29,Ejercicios!$B$8:$E$17,3,0)+VLOOKUP(C29,Ejercicios!$B$8:$E$17,4,0)*(L29-1))*Panel!$C$6,0),""))</f>
        <v/>
      </c>
      <c r="E29" s="28">
        <f>IF(OR(C29="",C29="Descanso"),"",IFERROR(VLOOKUP(C29,Ejercicios!$B$8:$E$17,2,0),""))</f>
        <v/>
      </c>
      <c r="F29" s="29" t="n"/>
      <c r="G29" s="30">
        <f>IF(OR(D29="",F29=""),"",IFERROR(F29/D29,0))</f>
        <v/>
      </c>
      <c r="H29" s="28">
        <f>IF(C29="","",IF(C29="Descanso","Descanso",IF(OR(F29="",D29=""),"Pendiente",IF(G29&gt;=1,"Completado",IF(G29&gt;=Panel!$C$7,"Parcial","Fallado")))))</f>
        <v/>
      </c>
      <c r="I29" s="27">
        <f>IF(OR(H29="",H29="Pendiente"),"",IF(H29="Descanso",N(I28),IF(H29="Completado",N(I28)+1,0)))</f>
        <v/>
      </c>
      <c r="J29" s="31">
        <f>Panel!$C$5+K29-1</f>
        <v/>
      </c>
      <c r="K29" s="27" t="n">
        <v>22</v>
      </c>
      <c r="L29" s="27">
        <f>INT((K29-1)/7)+1</f>
        <v/>
      </c>
      <c r="M29" s="28">
        <f>MID("LunMarMiéJueVieSábDom",(WEEKDAY(J29,2)-1)*3+1,3)</f>
        <v/>
      </c>
      <c r="N29" s="27">
        <f>IF(OR(H29="",H29="Pendiente"),"",COUNTIF(H$8:H29,"Completado"))</f>
        <v/>
      </c>
      <c r="O29" s="26" t="n"/>
    </row>
    <row r="30">
      <c r="B30" s="25" t="inlineStr">
        <is>
          <t>Día 23</t>
        </is>
      </c>
      <c r="C30" s="26" t="inlineStr">
        <is>
          <t>Flexiones</t>
        </is>
      </c>
      <c r="D30" s="27">
        <f>IF(OR(C30="",C30="Descanso"),"",IFERROR(ROUND((VLOOKUP(C30,Ejercicios!$B$8:$E$17,3,0)+VLOOKUP(C30,Ejercicios!$B$8:$E$17,4,0)*(L30-1))*Panel!$C$6,0),""))</f>
        <v/>
      </c>
      <c r="E30" s="28">
        <f>IF(OR(C30="",C30="Descanso"),"",IFERROR(VLOOKUP(C30,Ejercicios!$B$8:$E$17,2,0),""))</f>
        <v/>
      </c>
      <c r="F30" s="29" t="n"/>
      <c r="G30" s="30">
        <f>IF(OR(D30="",F30=""),"",IFERROR(F30/D30,0))</f>
        <v/>
      </c>
      <c r="H30" s="28">
        <f>IF(C30="","",IF(C30="Descanso","Descanso",IF(OR(F30="",D30=""),"Pendiente",IF(G30&gt;=1,"Completado",IF(G30&gt;=Panel!$C$7,"Parcial","Fallado")))))</f>
        <v/>
      </c>
      <c r="I30" s="27">
        <f>IF(OR(H30="",H30="Pendiente"),"",IF(H30="Descanso",N(I29),IF(H30="Completado",N(I29)+1,0)))</f>
        <v/>
      </c>
      <c r="J30" s="31">
        <f>Panel!$C$5+K30-1</f>
        <v/>
      </c>
      <c r="K30" s="27" t="n">
        <v>23</v>
      </c>
      <c r="L30" s="27">
        <f>INT((K30-1)/7)+1</f>
        <v/>
      </c>
      <c r="M30" s="28">
        <f>MID("LunMarMiéJueVieSábDom",(WEEKDAY(J30,2)-1)*3+1,3)</f>
        <v/>
      </c>
      <c r="N30" s="27">
        <f>IF(OR(H30="",H30="Pendiente"),"",COUNTIF(H$8:H30,"Completado"))</f>
        <v/>
      </c>
      <c r="O30" s="26" t="n"/>
    </row>
    <row r="31">
      <c r="B31" s="25" t="inlineStr">
        <is>
          <t>Día 24</t>
        </is>
      </c>
      <c r="C31" s="26" t="inlineStr">
        <is>
          <t>Abdominales</t>
        </is>
      </c>
      <c r="D31" s="27">
        <f>IF(OR(C31="",C31="Descanso"),"",IFERROR(ROUND((VLOOKUP(C31,Ejercicios!$B$8:$E$17,3,0)+VLOOKUP(C31,Ejercicios!$B$8:$E$17,4,0)*(L31-1))*Panel!$C$6,0),""))</f>
        <v/>
      </c>
      <c r="E31" s="28">
        <f>IF(OR(C31="",C31="Descanso"),"",IFERROR(VLOOKUP(C31,Ejercicios!$B$8:$E$17,2,0),""))</f>
        <v/>
      </c>
      <c r="F31" s="29" t="n"/>
      <c r="G31" s="30">
        <f>IF(OR(D31="",F31=""),"",IFERROR(F31/D31,0))</f>
        <v/>
      </c>
      <c r="H31" s="28">
        <f>IF(C31="","",IF(C31="Descanso","Descanso",IF(OR(F31="",D31=""),"Pendiente",IF(G31&gt;=1,"Completado",IF(G31&gt;=Panel!$C$7,"Parcial","Fallado")))))</f>
        <v/>
      </c>
      <c r="I31" s="27">
        <f>IF(OR(H31="",H31="Pendiente"),"",IF(H31="Descanso",N(I30),IF(H31="Completado",N(I30)+1,0)))</f>
        <v/>
      </c>
      <c r="J31" s="31">
        <f>Panel!$C$5+K31-1</f>
        <v/>
      </c>
      <c r="K31" s="27" t="n">
        <v>24</v>
      </c>
      <c r="L31" s="27">
        <f>INT((K31-1)/7)+1</f>
        <v/>
      </c>
      <c r="M31" s="28">
        <f>MID("LunMarMiéJueVieSábDom",(WEEKDAY(J31,2)-1)*3+1,3)</f>
        <v/>
      </c>
      <c r="N31" s="27">
        <f>IF(OR(H31="",H31="Pendiente"),"",COUNTIF(H$8:H31,"Completado"))</f>
        <v/>
      </c>
      <c r="O31" s="26" t="n"/>
    </row>
    <row r="32">
      <c r="B32" s="25" t="inlineStr">
        <is>
          <t>Día 25</t>
        </is>
      </c>
      <c r="C32" s="26" t="inlineStr">
        <is>
          <t>Plancha</t>
        </is>
      </c>
      <c r="D32" s="27">
        <f>IF(OR(C32="",C32="Descanso"),"",IFERROR(ROUND((VLOOKUP(C32,Ejercicios!$B$8:$E$17,3,0)+VLOOKUP(C32,Ejercicios!$B$8:$E$17,4,0)*(L32-1))*Panel!$C$6,0),""))</f>
        <v/>
      </c>
      <c r="E32" s="28">
        <f>IF(OR(C32="",C32="Descanso"),"",IFERROR(VLOOKUP(C32,Ejercicios!$B$8:$E$17,2,0),""))</f>
        <v/>
      </c>
      <c r="F32" s="29" t="n"/>
      <c r="G32" s="30">
        <f>IF(OR(D32="",F32=""),"",IFERROR(F32/D32,0))</f>
        <v/>
      </c>
      <c r="H32" s="28">
        <f>IF(C32="","",IF(C32="Descanso","Descanso",IF(OR(F32="",D32=""),"Pendiente",IF(G32&gt;=1,"Completado",IF(G32&gt;=Panel!$C$7,"Parcial","Fallado")))))</f>
        <v/>
      </c>
      <c r="I32" s="27">
        <f>IF(OR(H32="",H32="Pendiente"),"",IF(H32="Descanso",N(I31),IF(H32="Completado",N(I31)+1,0)))</f>
        <v/>
      </c>
      <c r="J32" s="31">
        <f>Panel!$C$5+K32-1</f>
        <v/>
      </c>
      <c r="K32" s="27" t="n">
        <v>25</v>
      </c>
      <c r="L32" s="27">
        <f>INT((K32-1)/7)+1</f>
        <v/>
      </c>
      <c r="M32" s="28">
        <f>MID("LunMarMiéJueVieSábDom",(WEEKDAY(J32,2)-1)*3+1,3)</f>
        <v/>
      </c>
      <c r="N32" s="27">
        <f>IF(OR(H32="",H32="Pendiente"),"",COUNTIF(H$8:H32,"Completado"))</f>
        <v/>
      </c>
      <c r="O32" s="26" t="n"/>
    </row>
    <row r="33">
      <c r="B33" s="25" t="inlineStr">
        <is>
          <t>Día 26</t>
        </is>
      </c>
      <c r="C33" s="26" t="inlineStr">
        <is>
          <t>Zancadas</t>
        </is>
      </c>
      <c r="D33" s="27">
        <f>IF(OR(C33="",C33="Descanso"),"",IFERROR(ROUND((VLOOKUP(C33,Ejercicios!$B$8:$E$17,3,0)+VLOOKUP(C33,Ejercicios!$B$8:$E$17,4,0)*(L33-1))*Panel!$C$6,0),""))</f>
        <v/>
      </c>
      <c r="E33" s="28">
        <f>IF(OR(C33="",C33="Descanso"),"",IFERROR(VLOOKUP(C33,Ejercicios!$B$8:$E$17,2,0),""))</f>
        <v/>
      </c>
      <c r="F33" s="29" t="n"/>
      <c r="G33" s="30">
        <f>IF(OR(D33="",F33=""),"",IFERROR(F33/D33,0))</f>
        <v/>
      </c>
      <c r="H33" s="28">
        <f>IF(C33="","",IF(C33="Descanso","Descanso",IF(OR(F33="",D33=""),"Pendiente",IF(G33&gt;=1,"Completado",IF(G33&gt;=Panel!$C$7,"Parcial","Fallado")))))</f>
        <v/>
      </c>
      <c r="I33" s="27">
        <f>IF(OR(H33="",H33="Pendiente"),"",IF(H33="Descanso",N(I32),IF(H33="Completado",N(I32)+1,0)))</f>
        <v/>
      </c>
      <c r="J33" s="31">
        <f>Panel!$C$5+K33-1</f>
        <v/>
      </c>
      <c r="K33" s="27" t="n">
        <v>26</v>
      </c>
      <c r="L33" s="27">
        <f>INT((K33-1)/7)+1</f>
        <v/>
      </c>
      <c r="M33" s="28">
        <f>MID("LunMarMiéJueVieSábDom",(WEEKDAY(J33,2)-1)*3+1,3)</f>
        <v/>
      </c>
      <c r="N33" s="27">
        <f>IF(OR(H33="",H33="Pendiente"),"",COUNTIF(H$8:H33,"Completado"))</f>
        <v/>
      </c>
      <c r="O33" s="26" t="n"/>
    </row>
    <row r="34">
      <c r="B34" s="25" t="inlineStr">
        <is>
          <t>Día 27</t>
        </is>
      </c>
      <c r="C34" s="26" t="inlineStr">
        <is>
          <t>Burpees</t>
        </is>
      </c>
      <c r="D34" s="27">
        <f>IF(OR(C34="",C34="Descanso"),"",IFERROR(ROUND((VLOOKUP(C34,Ejercicios!$B$8:$E$17,3,0)+VLOOKUP(C34,Ejercicios!$B$8:$E$17,4,0)*(L34-1))*Panel!$C$6,0),""))</f>
        <v/>
      </c>
      <c r="E34" s="28">
        <f>IF(OR(C34="",C34="Descanso"),"",IFERROR(VLOOKUP(C34,Ejercicios!$B$8:$E$17,2,0),""))</f>
        <v/>
      </c>
      <c r="F34" s="29" t="n"/>
      <c r="G34" s="30">
        <f>IF(OR(D34="",F34=""),"",IFERROR(F34/D34,0))</f>
        <v/>
      </c>
      <c r="H34" s="28">
        <f>IF(C34="","",IF(C34="Descanso","Descanso",IF(OR(F34="",D34=""),"Pendiente",IF(G34&gt;=1,"Completado",IF(G34&gt;=Panel!$C$7,"Parcial","Fallado")))))</f>
        <v/>
      </c>
      <c r="I34" s="27">
        <f>IF(OR(H34="",H34="Pendiente"),"",IF(H34="Descanso",N(I33),IF(H34="Completado",N(I33)+1,0)))</f>
        <v/>
      </c>
      <c r="J34" s="31">
        <f>Panel!$C$5+K34-1</f>
        <v/>
      </c>
      <c r="K34" s="27" t="n">
        <v>27</v>
      </c>
      <c r="L34" s="27">
        <f>INT((K34-1)/7)+1</f>
        <v/>
      </c>
      <c r="M34" s="28">
        <f>MID("LunMarMiéJueVieSábDom",(WEEKDAY(J34,2)-1)*3+1,3)</f>
        <v/>
      </c>
      <c r="N34" s="27">
        <f>IF(OR(H34="",H34="Pendiente"),"",COUNTIF(H$8:H34,"Completado"))</f>
        <v/>
      </c>
      <c r="O34" s="26" t="n"/>
    </row>
    <row r="35">
      <c r="B35" s="25" t="inlineStr">
        <is>
          <t>Día 28</t>
        </is>
      </c>
      <c r="C35" s="26" t="inlineStr">
        <is>
          <t>Descanso</t>
        </is>
      </c>
      <c r="D35" s="27">
        <f>IF(OR(C35="",C35="Descanso"),"",IFERROR(ROUND((VLOOKUP(C35,Ejercicios!$B$8:$E$17,3,0)+VLOOKUP(C35,Ejercicios!$B$8:$E$17,4,0)*(L35-1))*Panel!$C$6,0),""))</f>
        <v/>
      </c>
      <c r="E35" s="28">
        <f>IF(OR(C35="",C35="Descanso"),"",IFERROR(VLOOKUP(C35,Ejercicios!$B$8:$E$17,2,0),""))</f>
        <v/>
      </c>
      <c r="F35" s="29" t="n"/>
      <c r="G35" s="30">
        <f>IF(OR(D35="",F35=""),"",IFERROR(F35/D35,0))</f>
        <v/>
      </c>
      <c r="H35" s="28">
        <f>IF(C35="","",IF(C35="Descanso","Descanso",IF(OR(F35="",D35=""),"Pendiente",IF(G35&gt;=1,"Completado",IF(G35&gt;=Panel!$C$7,"Parcial","Fallado")))))</f>
        <v/>
      </c>
      <c r="I35" s="27">
        <f>IF(OR(H35="",H35="Pendiente"),"",IF(H35="Descanso",N(I34),IF(H35="Completado",N(I34)+1,0)))</f>
        <v/>
      </c>
      <c r="J35" s="31">
        <f>Panel!$C$5+K35-1</f>
        <v/>
      </c>
      <c r="K35" s="27" t="n">
        <v>28</v>
      </c>
      <c r="L35" s="27">
        <f>INT((K35-1)/7)+1</f>
        <v/>
      </c>
      <c r="M35" s="28">
        <f>MID("LunMarMiéJueVieSábDom",(WEEKDAY(J35,2)-1)*3+1,3)</f>
        <v/>
      </c>
      <c r="N35" s="27">
        <f>IF(OR(H35="",H35="Pendiente"),"",COUNTIF(H$8:H35,"Completado"))</f>
        <v/>
      </c>
      <c r="O35" s="26" t="n"/>
    </row>
    <row r="36">
      <c r="B36" s="25" t="inlineStr">
        <is>
          <t>Día 29</t>
        </is>
      </c>
      <c r="C36" s="26" t="inlineStr">
        <is>
          <t>Sentadillas</t>
        </is>
      </c>
      <c r="D36" s="27">
        <f>IF(OR(C36="",C36="Descanso"),"",IFERROR(ROUND((VLOOKUP(C36,Ejercicios!$B$8:$E$17,3,0)+VLOOKUP(C36,Ejercicios!$B$8:$E$17,4,0)*(L36-1))*Panel!$C$6,0),""))</f>
        <v/>
      </c>
      <c r="E36" s="28">
        <f>IF(OR(C36="",C36="Descanso"),"",IFERROR(VLOOKUP(C36,Ejercicios!$B$8:$E$17,2,0),""))</f>
        <v/>
      </c>
      <c r="F36" s="29" t="n"/>
      <c r="G36" s="30">
        <f>IF(OR(D36="",F36=""),"",IFERROR(F36/D36,0))</f>
        <v/>
      </c>
      <c r="H36" s="28">
        <f>IF(C36="","",IF(C36="Descanso","Descanso",IF(OR(F36="",D36=""),"Pendiente",IF(G36&gt;=1,"Completado",IF(G36&gt;=Panel!$C$7,"Parcial","Fallado")))))</f>
        <v/>
      </c>
      <c r="I36" s="27">
        <f>IF(OR(H36="",H36="Pendiente"),"",IF(H36="Descanso",N(I35),IF(H36="Completado",N(I35)+1,0)))</f>
        <v/>
      </c>
      <c r="J36" s="31">
        <f>Panel!$C$5+K36-1</f>
        <v/>
      </c>
      <c r="K36" s="27" t="n">
        <v>29</v>
      </c>
      <c r="L36" s="27">
        <f>INT((K36-1)/7)+1</f>
        <v/>
      </c>
      <c r="M36" s="28">
        <f>MID("LunMarMiéJueVieSábDom",(WEEKDAY(J36,2)-1)*3+1,3)</f>
        <v/>
      </c>
      <c r="N36" s="27">
        <f>IF(OR(H36="",H36="Pendiente"),"",COUNTIF(H$8:H36,"Completado"))</f>
        <v/>
      </c>
      <c r="O36" s="26" t="n"/>
    </row>
    <row r="37">
      <c r="B37" s="25" t="inlineStr">
        <is>
          <t>Día 30</t>
        </is>
      </c>
      <c r="C37" s="26" t="inlineStr">
        <is>
          <t>Flexiones</t>
        </is>
      </c>
      <c r="D37" s="27">
        <f>IF(OR(C37="",C37="Descanso"),"",IFERROR(ROUND((VLOOKUP(C37,Ejercicios!$B$8:$E$17,3,0)+VLOOKUP(C37,Ejercicios!$B$8:$E$17,4,0)*(L37-1))*Panel!$C$6,0),""))</f>
        <v/>
      </c>
      <c r="E37" s="28">
        <f>IF(OR(C37="",C37="Descanso"),"",IFERROR(VLOOKUP(C37,Ejercicios!$B$8:$E$17,2,0),""))</f>
        <v/>
      </c>
      <c r="F37" s="29" t="n"/>
      <c r="G37" s="30">
        <f>IF(OR(D37="",F37=""),"",IFERROR(F37/D37,0))</f>
        <v/>
      </c>
      <c r="H37" s="28">
        <f>IF(C37="","",IF(C37="Descanso","Descanso",IF(OR(F37="",D37=""),"Pendiente",IF(G37&gt;=1,"Completado",IF(G37&gt;=Panel!$C$7,"Parcial","Fallado")))))</f>
        <v/>
      </c>
      <c r="I37" s="27">
        <f>IF(OR(H37="",H37="Pendiente"),"",IF(H37="Descanso",N(I36),IF(H37="Completado",N(I36)+1,0)))</f>
        <v/>
      </c>
      <c r="J37" s="31">
        <f>Panel!$C$5+K37-1</f>
        <v/>
      </c>
      <c r="K37" s="27" t="n">
        <v>30</v>
      </c>
      <c r="L37" s="27">
        <f>INT((K37-1)/7)+1</f>
        <v/>
      </c>
      <c r="M37" s="28">
        <f>MID("LunMarMiéJueVieSábDom",(WEEKDAY(J37,2)-1)*3+1,3)</f>
        <v/>
      </c>
      <c r="N37" s="27">
        <f>IF(OR(H37="",H37="Pendiente"),"",COUNTIF(H$8:H37,"Completado"))</f>
        <v/>
      </c>
      <c r="O37" s="26" t="n"/>
    </row>
    <row r="38">
      <c r="B38" s="32" t="inlineStr">
        <is>
          <t>Total</t>
        </is>
      </c>
      <c r="C38" s="32">
        <f>COUNTIF(H8:H37,"Completado")&amp;" completados"</f>
        <v/>
      </c>
      <c r="D38" s="32" t="inlineStr"/>
      <c r="E38" s="32" t="inlineStr"/>
      <c r="F38" s="33">
        <f>SUM(F8:F37)</f>
        <v/>
      </c>
      <c r="G38" s="34">
        <f>IFERROR(SUM(G8:G37)/COUNT(G8:G37),0)</f>
        <v/>
      </c>
    </row>
    <row r="40">
      <c r="B40" s="22" t="inlineStr">
        <is>
          <t>La suma de «Realizadas» mezcla repeticiones y segundos; en la hoja «Panel» se separan por unidad. «Parcial» = entre el umbral del Panel y el 100 % del objetivo.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H8:H37">
    <cfRule type="cellIs" priority="1" operator="equal" dxfId="0">
      <formula>"Completado"</formula>
    </cfRule>
    <cfRule type="cellIs" priority="2" operator="equal" dxfId="1">
      <formula>"Parcial"</formula>
    </cfRule>
    <cfRule type="cellIs" priority="3" operator="equal" dxfId="2">
      <formula>"Fallado"</formula>
    </cfRule>
    <cfRule type="cellIs" priority="4" operator="equal" dxfId="3">
      <formula>"Descanso"</formula>
    </cfRule>
    <cfRule type="cellIs" priority="5" operator="equal" dxfId="4">
      <formula>"Pendiente"</formula>
    </cfRule>
  </conditionalFormatting>
  <conditionalFormatting sqref="G8:G37">
    <cfRule type="dataBar" priority="6">
      <dataBar>
        <cfvo type="num" val="0"/>
        <cfvo type="max"/>
        <color rgb="0010B981"/>
      </dataBar>
    </cfRule>
  </conditionalFormatting>
  <dataValidations count="2">
    <dataValidation sqref="C8:C37" showDropDown="0" showInputMessage="0" showErrorMessage="0" allowBlank="1" type="list">
      <formula1>=Ejercicios!$B$8:$B$17</formula1>
    </dataValidation>
    <dataValidation sqref="F8:F37" showDropDown="0" showInputMessage="0" showErrorMessage="1" allowBlank="1" errorTitle="Realizadas" error="Escribe un número entero entre 0 y 1.000." type="whole" operator="between">
      <formula1>0</formula1>
      <formula2>1000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2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0" customWidth="1" min="3" max="3"/>
    <col width="13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4" customWidth="1" min="12" max="12"/>
  </cols>
  <sheetData>
    <row r="2" ht="34" customHeight="1">
      <c r="B2" s="1" t="inlineStr">
        <is>
          <t>Tus ejercicios y su progresión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Define cada ejercicio, su objetivo del día 1 y cuánto sube cada semana. El reto toma estos valores solo.</t>
        </is>
      </c>
    </row>
    <row r="7" ht="36" customHeight="1">
      <c r="B7" s="24" t="inlineStr">
        <is>
          <t>Ejercicio</t>
        </is>
      </c>
      <c r="C7" s="24" t="inlineStr">
        <is>
          <t>Unidad</t>
        </is>
      </c>
      <c r="D7" s="24" t="inlineStr">
        <is>
          <t>Objetivo día 1</t>
        </is>
      </c>
      <c r="E7" s="24" t="inlineStr">
        <is>
          <t>Subida por semana</t>
        </is>
      </c>
      <c r="F7" s="24" t="inlineStr">
        <is>
          <t>Semana 1</t>
        </is>
      </c>
      <c r="G7" s="24" t="inlineStr">
        <is>
          <t>Semana 2</t>
        </is>
      </c>
      <c r="H7" s="24" t="inlineStr">
        <is>
          <t>Semana 3</t>
        </is>
      </c>
      <c r="I7" s="24" t="inlineStr">
        <is>
          <t>Semana 4</t>
        </is>
      </c>
      <c r="J7" s="24" t="inlineStr">
        <is>
          <t>Semana 5</t>
        </is>
      </c>
      <c r="K7" s="24" t="inlineStr">
        <is>
          <t>Veces en el reto</t>
        </is>
      </c>
      <c r="L7" s="24" t="inlineStr">
        <is>
          <t>Total realizado</t>
        </is>
      </c>
    </row>
    <row r="8">
      <c r="B8" s="26" t="inlineStr">
        <is>
          <t>Descanso</t>
        </is>
      </c>
      <c r="C8" s="35" t="inlineStr">
        <is>
          <t>-</t>
        </is>
      </c>
      <c r="D8" s="29" t="n">
        <v>0</v>
      </c>
      <c r="E8" s="29" t="n">
        <v>0</v>
      </c>
      <c r="F8" s="27">
        <f>IF(OR($B8="",$B8="Descanso"),"",ROUND(($D8+$E8*0)*Panel!$C$6,0))</f>
        <v/>
      </c>
      <c r="G8" s="27">
        <f>IF(OR($B8="",$B8="Descanso"),"",ROUND(($D8+$E8*1)*Panel!$C$6,0))</f>
        <v/>
      </c>
      <c r="H8" s="27">
        <f>IF(OR($B8="",$B8="Descanso"),"",ROUND(($D8+$E8*2)*Panel!$C$6,0))</f>
        <v/>
      </c>
      <c r="I8" s="27">
        <f>IF(OR($B8="",$B8="Descanso"),"",ROUND(($D8+$E8*3)*Panel!$C$6,0))</f>
        <v/>
      </c>
      <c r="J8" s="27">
        <f>IF(OR($B8="",$B8="Descanso"),"",ROUND(($D8+$E8*4)*Panel!$C$6,0))</f>
        <v/>
      </c>
      <c r="K8" s="27">
        <f>IF($B8="","",COUNTIF(Reto!$C$8:$C$37,$B8))</f>
        <v/>
      </c>
      <c r="L8" s="27">
        <f>IF(OR($B8="",$B8="Descanso"),"",SUMIF(Reto!$C$8:$C$37,$B8,Reto!$F$8:$F$37))</f>
        <v/>
      </c>
    </row>
    <row r="9">
      <c r="B9" s="26" t="inlineStr">
        <is>
          <t>Sentadillas</t>
        </is>
      </c>
      <c r="C9" s="35" t="inlineStr">
        <is>
          <t>reps</t>
        </is>
      </c>
      <c r="D9" s="29" t="n">
        <v>15</v>
      </c>
      <c r="E9" s="29" t="n">
        <v>3</v>
      </c>
      <c r="F9" s="27">
        <f>IF(OR($B9="",$B9="Descanso"),"",ROUND(($D9+$E9*0)*Panel!$C$6,0))</f>
        <v/>
      </c>
      <c r="G9" s="27">
        <f>IF(OR($B9="",$B9="Descanso"),"",ROUND(($D9+$E9*1)*Panel!$C$6,0))</f>
        <v/>
      </c>
      <c r="H9" s="27">
        <f>IF(OR($B9="",$B9="Descanso"),"",ROUND(($D9+$E9*2)*Panel!$C$6,0))</f>
        <v/>
      </c>
      <c r="I9" s="27">
        <f>IF(OR($B9="",$B9="Descanso"),"",ROUND(($D9+$E9*3)*Panel!$C$6,0))</f>
        <v/>
      </c>
      <c r="J9" s="27">
        <f>IF(OR($B9="",$B9="Descanso"),"",ROUND(($D9+$E9*4)*Panel!$C$6,0))</f>
        <v/>
      </c>
      <c r="K9" s="27">
        <f>IF($B9="","",COUNTIF(Reto!$C$8:$C$37,$B9))</f>
        <v/>
      </c>
      <c r="L9" s="27">
        <f>IF(OR($B9="",$B9="Descanso"),"",SUMIF(Reto!$C$8:$C$37,$B9,Reto!$F$8:$F$37))</f>
        <v/>
      </c>
    </row>
    <row r="10">
      <c r="B10" s="26" t="inlineStr">
        <is>
          <t>Flexiones</t>
        </is>
      </c>
      <c r="C10" s="35" t="inlineStr">
        <is>
          <t>reps</t>
        </is>
      </c>
      <c r="D10" s="29" t="n">
        <v>8</v>
      </c>
      <c r="E10" s="29" t="n">
        <v>2</v>
      </c>
      <c r="F10" s="27">
        <f>IF(OR($B10="",$B10="Descanso"),"",ROUND(($D10+$E10*0)*Panel!$C$6,0))</f>
        <v/>
      </c>
      <c r="G10" s="27">
        <f>IF(OR($B10="",$B10="Descanso"),"",ROUND(($D10+$E10*1)*Panel!$C$6,0))</f>
        <v/>
      </c>
      <c r="H10" s="27">
        <f>IF(OR($B10="",$B10="Descanso"),"",ROUND(($D10+$E10*2)*Panel!$C$6,0))</f>
        <v/>
      </c>
      <c r="I10" s="27">
        <f>IF(OR($B10="",$B10="Descanso"),"",ROUND(($D10+$E10*3)*Panel!$C$6,0))</f>
        <v/>
      </c>
      <c r="J10" s="27">
        <f>IF(OR($B10="",$B10="Descanso"),"",ROUND(($D10+$E10*4)*Panel!$C$6,0))</f>
        <v/>
      </c>
      <c r="K10" s="27">
        <f>IF($B10="","",COUNTIF(Reto!$C$8:$C$37,$B10))</f>
        <v/>
      </c>
      <c r="L10" s="27">
        <f>IF(OR($B10="",$B10="Descanso"),"",SUMIF(Reto!$C$8:$C$37,$B10,Reto!$F$8:$F$37))</f>
        <v/>
      </c>
    </row>
    <row r="11">
      <c r="B11" s="26" t="inlineStr">
        <is>
          <t>Abdominales</t>
        </is>
      </c>
      <c r="C11" s="35" t="inlineStr">
        <is>
          <t>reps</t>
        </is>
      </c>
      <c r="D11" s="29" t="n">
        <v>15</v>
      </c>
      <c r="E11" s="29" t="n">
        <v>3</v>
      </c>
      <c r="F11" s="27">
        <f>IF(OR($B11="",$B11="Descanso"),"",ROUND(($D11+$E11*0)*Panel!$C$6,0))</f>
        <v/>
      </c>
      <c r="G11" s="27">
        <f>IF(OR($B11="",$B11="Descanso"),"",ROUND(($D11+$E11*1)*Panel!$C$6,0))</f>
        <v/>
      </c>
      <c r="H11" s="27">
        <f>IF(OR($B11="",$B11="Descanso"),"",ROUND(($D11+$E11*2)*Panel!$C$6,0))</f>
        <v/>
      </c>
      <c r="I11" s="27">
        <f>IF(OR($B11="",$B11="Descanso"),"",ROUND(($D11+$E11*3)*Panel!$C$6,0))</f>
        <v/>
      </c>
      <c r="J11" s="27">
        <f>IF(OR($B11="",$B11="Descanso"),"",ROUND(($D11+$E11*4)*Panel!$C$6,0))</f>
        <v/>
      </c>
      <c r="K11" s="27">
        <f>IF($B11="","",COUNTIF(Reto!$C$8:$C$37,$B11))</f>
        <v/>
      </c>
      <c r="L11" s="27">
        <f>IF(OR($B11="",$B11="Descanso"),"",SUMIF(Reto!$C$8:$C$37,$B11,Reto!$F$8:$F$37))</f>
        <v/>
      </c>
    </row>
    <row r="12">
      <c r="B12" s="26" t="inlineStr">
        <is>
          <t>Plancha</t>
        </is>
      </c>
      <c r="C12" s="35" t="inlineStr">
        <is>
          <t>seg</t>
        </is>
      </c>
      <c r="D12" s="29" t="n">
        <v>20</v>
      </c>
      <c r="E12" s="29" t="n">
        <v>5</v>
      </c>
      <c r="F12" s="27">
        <f>IF(OR($B12="",$B12="Descanso"),"",ROUND(($D12+$E12*0)*Panel!$C$6,0))</f>
        <v/>
      </c>
      <c r="G12" s="27">
        <f>IF(OR($B12="",$B12="Descanso"),"",ROUND(($D12+$E12*1)*Panel!$C$6,0))</f>
        <v/>
      </c>
      <c r="H12" s="27">
        <f>IF(OR($B12="",$B12="Descanso"),"",ROUND(($D12+$E12*2)*Panel!$C$6,0))</f>
        <v/>
      </c>
      <c r="I12" s="27">
        <f>IF(OR($B12="",$B12="Descanso"),"",ROUND(($D12+$E12*3)*Panel!$C$6,0))</f>
        <v/>
      </c>
      <c r="J12" s="27">
        <f>IF(OR($B12="",$B12="Descanso"),"",ROUND(($D12+$E12*4)*Panel!$C$6,0))</f>
        <v/>
      </c>
      <c r="K12" s="27">
        <f>IF($B12="","",COUNTIF(Reto!$C$8:$C$37,$B12))</f>
        <v/>
      </c>
      <c r="L12" s="27">
        <f>IF(OR($B12="",$B12="Descanso"),"",SUMIF(Reto!$C$8:$C$37,$B12,Reto!$F$8:$F$37))</f>
        <v/>
      </c>
    </row>
    <row r="13">
      <c r="B13" s="26" t="inlineStr">
        <is>
          <t>Zancadas</t>
        </is>
      </c>
      <c r="C13" s="35" t="inlineStr">
        <is>
          <t>reps</t>
        </is>
      </c>
      <c r="D13" s="29" t="n">
        <v>10</v>
      </c>
      <c r="E13" s="29" t="n">
        <v>2</v>
      </c>
      <c r="F13" s="27">
        <f>IF(OR($B13="",$B13="Descanso"),"",ROUND(($D13+$E13*0)*Panel!$C$6,0))</f>
        <v/>
      </c>
      <c r="G13" s="27">
        <f>IF(OR($B13="",$B13="Descanso"),"",ROUND(($D13+$E13*1)*Panel!$C$6,0))</f>
        <v/>
      </c>
      <c r="H13" s="27">
        <f>IF(OR($B13="",$B13="Descanso"),"",ROUND(($D13+$E13*2)*Panel!$C$6,0))</f>
        <v/>
      </c>
      <c r="I13" s="27">
        <f>IF(OR($B13="",$B13="Descanso"),"",ROUND(($D13+$E13*3)*Panel!$C$6,0))</f>
        <v/>
      </c>
      <c r="J13" s="27">
        <f>IF(OR($B13="",$B13="Descanso"),"",ROUND(($D13+$E13*4)*Panel!$C$6,0))</f>
        <v/>
      </c>
      <c r="K13" s="27">
        <f>IF($B13="","",COUNTIF(Reto!$C$8:$C$37,$B13))</f>
        <v/>
      </c>
      <c r="L13" s="27">
        <f>IF(OR($B13="",$B13="Descanso"),"",SUMIF(Reto!$C$8:$C$37,$B13,Reto!$F$8:$F$37))</f>
        <v/>
      </c>
    </row>
    <row r="14">
      <c r="B14" s="26" t="inlineStr">
        <is>
          <t>Burpees</t>
        </is>
      </c>
      <c r="C14" s="35" t="inlineStr">
        <is>
          <t>reps</t>
        </is>
      </c>
      <c r="D14" s="29" t="n">
        <v>5</v>
      </c>
      <c r="E14" s="29" t="n">
        <v>1</v>
      </c>
      <c r="F14" s="27">
        <f>IF(OR($B14="",$B14="Descanso"),"",ROUND(($D14+$E14*0)*Panel!$C$6,0))</f>
        <v/>
      </c>
      <c r="G14" s="27">
        <f>IF(OR($B14="",$B14="Descanso"),"",ROUND(($D14+$E14*1)*Panel!$C$6,0))</f>
        <v/>
      </c>
      <c r="H14" s="27">
        <f>IF(OR($B14="",$B14="Descanso"),"",ROUND(($D14+$E14*2)*Panel!$C$6,0))</f>
        <v/>
      </c>
      <c r="I14" s="27">
        <f>IF(OR($B14="",$B14="Descanso"),"",ROUND(($D14+$E14*3)*Panel!$C$6,0))</f>
        <v/>
      </c>
      <c r="J14" s="27">
        <f>IF(OR($B14="",$B14="Descanso"),"",ROUND(($D14+$E14*4)*Panel!$C$6,0))</f>
        <v/>
      </c>
      <c r="K14" s="27">
        <f>IF($B14="","",COUNTIF(Reto!$C$8:$C$37,$B14))</f>
        <v/>
      </c>
      <c r="L14" s="27">
        <f>IF(OR($B14="",$B14="Descanso"),"",SUMIF(Reto!$C$8:$C$37,$B14,Reto!$F$8:$F$37))</f>
        <v/>
      </c>
    </row>
    <row r="15">
      <c r="B15" s="26" t="n"/>
      <c r="C15" s="35" t="n"/>
      <c r="D15" s="29" t="n"/>
      <c r="E15" s="29" t="n"/>
      <c r="F15" s="27">
        <f>IF(OR($B15="",$B15="Descanso"),"",ROUND(($D15+$E15*0)*Panel!$C$6,0))</f>
        <v/>
      </c>
      <c r="G15" s="27">
        <f>IF(OR($B15="",$B15="Descanso"),"",ROUND(($D15+$E15*1)*Panel!$C$6,0))</f>
        <v/>
      </c>
      <c r="H15" s="27">
        <f>IF(OR($B15="",$B15="Descanso"),"",ROUND(($D15+$E15*2)*Panel!$C$6,0))</f>
        <v/>
      </c>
      <c r="I15" s="27">
        <f>IF(OR($B15="",$B15="Descanso"),"",ROUND(($D15+$E15*3)*Panel!$C$6,0))</f>
        <v/>
      </c>
      <c r="J15" s="27">
        <f>IF(OR($B15="",$B15="Descanso"),"",ROUND(($D15+$E15*4)*Panel!$C$6,0))</f>
        <v/>
      </c>
      <c r="K15" s="27">
        <f>IF($B15="","",COUNTIF(Reto!$C$8:$C$37,$B15))</f>
        <v/>
      </c>
      <c r="L15" s="27">
        <f>IF(OR($B15="",$B15="Descanso"),"",SUMIF(Reto!$C$8:$C$37,$B15,Reto!$F$8:$F$37))</f>
        <v/>
      </c>
    </row>
    <row r="16">
      <c r="B16" s="26" t="n"/>
      <c r="C16" s="35" t="n"/>
      <c r="D16" s="29" t="n"/>
      <c r="E16" s="29" t="n"/>
      <c r="F16" s="27">
        <f>IF(OR($B16="",$B16="Descanso"),"",ROUND(($D16+$E16*0)*Panel!$C$6,0))</f>
        <v/>
      </c>
      <c r="G16" s="27">
        <f>IF(OR($B16="",$B16="Descanso"),"",ROUND(($D16+$E16*1)*Panel!$C$6,0))</f>
        <v/>
      </c>
      <c r="H16" s="27">
        <f>IF(OR($B16="",$B16="Descanso"),"",ROUND(($D16+$E16*2)*Panel!$C$6,0))</f>
        <v/>
      </c>
      <c r="I16" s="27">
        <f>IF(OR($B16="",$B16="Descanso"),"",ROUND(($D16+$E16*3)*Panel!$C$6,0))</f>
        <v/>
      </c>
      <c r="J16" s="27">
        <f>IF(OR($B16="",$B16="Descanso"),"",ROUND(($D16+$E16*4)*Panel!$C$6,0))</f>
        <v/>
      </c>
      <c r="K16" s="27">
        <f>IF($B16="","",COUNTIF(Reto!$C$8:$C$37,$B16))</f>
        <v/>
      </c>
      <c r="L16" s="27">
        <f>IF(OR($B16="",$B16="Descanso"),"",SUMIF(Reto!$C$8:$C$37,$B16,Reto!$F$8:$F$37))</f>
        <v/>
      </c>
    </row>
    <row r="17">
      <c r="B17" s="26" t="n"/>
      <c r="C17" s="35" t="n"/>
      <c r="D17" s="29" t="n"/>
      <c r="E17" s="29" t="n"/>
      <c r="F17" s="27">
        <f>IF(OR($B17="",$B17="Descanso"),"",ROUND(($D17+$E17*0)*Panel!$C$6,0))</f>
        <v/>
      </c>
      <c r="G17" s="27">
        <f>IF(OR($B17="",$B17="Descanso"),"",ROUND(($D17+$E17*1)*Panel!$C$6,0))</f>
        <v/>
      </c>
      <c r="H17" s="27">
        <f>IF(OR($B17="",$B17="Descanso"),"",ROUND(($D17+$E17*2)*Panel!$C$6,0))</f>
        <v/>
      </c>
      <c r="I17" s="27">
        <f>IF(OR($B17="",$B17="Descanso"),"",ROUND(($D17+$E17*3)*Panel!$C$6,0))</f>
        <v/>
      </c>
      <c r="J17" s="27">
        <f>IF(OR($B17="",$B17="Descanso"),"",ROUND(($D17+$E17*4)*Panel!$C$6,0))</f>
        <v/>
      </c>
      <c r="K17" s="27">
        <f>IF($B17="","",COUNTIF(Reto!$C$8:$C$37,$B17))</f>
        <v/>
      </c>
      <c r="L17" s="27">
        <f>IF(OR($B17="",$B17="Descanso"),"",SUMIF(Reto!$C$8:$C$37,$B17,Reto!$F$8:$F$37))</f>
        <v/>
      </c>
    </row>
    <row r="19">
      <c r="B19" s="22" t="inlineStr">
        <is>
          <t>El objetivo de cada semana = (objetivo día 1 + subida × semanas transcurridas) × ajuste de nivel de la hoja «Panel». Las filas vacías están listas para tus propios ejercicios.</t>
        </is>
      </c>
    </row>
    <row r="20">
      <c r="B20" s="22" t="inlineStr">
        <is>
          <t>Usa «reps» para repeticiones y «seg» para ejercicios de tiempo (plancha, sentadilla isométrica…). Los valores del ejemplo son orientativos y editables.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8:L17">
    <cfRule type="dataBar" priority="1">
      <dataBar>
        <cfvo type="num" val="0"/>
        <cfvo type="max"/>
        <color rgb="0010B981"/>
      </dataBar>
    </cfRule>
  </conditionalFormatting>
  <dataValidations count="1">
    <dataValidation sqref="C8:C17" showDropDown="0" showInputMessage="0" showErrorMessage="0" allowBlank="1" type="list">
      <formula1>"reps,seg,-"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L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1" customWidth="1" min="7" max="7"/>
    <col width="11" customWidth="1" min="8" max="8"/>
    <col width="11" customWidth="1" min="9" max="9"/>
    <col width="13" customWidth="1" min="10" max="10"/>
    <col width="14" customWidth="1" min="11" max="11"/>
    <col width="14" customWidth="1" min="12" max="12"/>
  </cols>
  <sheetData>
    <row r="2" ht="34" customHeight="1">
      <c r="B2" s="1" t="inlineStr">
        <is>
          <t>Resumen por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Cómo va cada bloque de 7 días: entrenos planificados, completados y cumplimiento medio.</t>
        </is>
      </c>
    </row>
    <row r="7" ht="44" customHeight="1">
      <c r="B7" s="24" t="inlineStr">
        <is>
          <t>Semana</t>
        </is>
      </c>
      <c r="C7" s="24" t="inlineStr">
        <is>
          <t>Desde</t>
        </is>
      </c>
      <c r="D7" s="24" t="inlineStr">
        <is>
          <t>Hasta</t>
        </is>
      </c>
      <c r="E7" s="24" t="inlineStr">
        <is>
          <t>Entrenos planificados</t>
        </is>
      </c>
      <c r="F7" s="24" t="inlineStr">
        <is>
          <t>Completados</t>
        </is>
      </c>
      <c r="G7" s="24" t="inlineStr">
        <is>
          <t>Parciales</t>
        </is>
      </c>
      <c r="H7" s="24" t="inlineStr">
        <is>
          <t>Fallados</t>
        </is>
      </c>
      <c r="I7" s="24" t="inlineStr">
        <is>
          <t>Pendientes</t>
        </is>
      </c>
      <c r="J7" s="24" t="inlineStr">
        <is>
          <t>% completado</t>
        </is>
      </c>
      <c r="K7" s="24" t="inlineStr">
        <is>
          <t>Repeticiones realizadas</t>
        </is>
      </c>
      <c r="L7" s="24" t="inlineStr">
        <is>
          <t>Cumplimiento medio</t>
        </is>
      </c>
    </row>
    <row r="8">
      <c r="B8" s="9" t="n">
        <v>1</v>
      </c>
      <c r="C8" s="31">
        <f>Panel!$C$5+(B8-1)*7</f>
        <v/>
      </c>
      <c r="D8" s="31">
        <f>MIN(C8+6,Panel!$C$5+29)</f>
        <v/>
      </c>
      <c r="E8" s="27">
        <f>SUMPRODUCT((Reto!$L$8:$L$37=B8)*(Reto!$C$8:$C$37&lt;&gt;"")*(Reto!$C$8:$C$37&lt;&gt;"Descanso"))</f>
        <v/>
      </c>
      <c r="F8" s="27">
        <f>COUNTIFS(Reto!$L$8:$L$37,B8,Reto!$H$8:$H$37,"Completado")</f>
        <v/>
      </c>
      <c r="G8" s="27">
        <f>COUNTIFS(Reto!$L$8:$L$37,B8,Reto!$H$8:$H$37,"Parcial")</f>
        <v/>
      </c>
      <c r="H8" s="27">
        <f>COUNTIFS(Reto!$L$8:$L$37,B8,Reto!$H$8:$H$37,"Fallado")</f>
        <v/>
      </c>
      <c r="I8" s="27">
        <f>COUNTIFS(Reto!$L$8:$L$37,B8,Reto!$H$8:$H$37,"Pendiente")</f>
        <v/>
      </c>
      <c r="J8" s="30">
        <f>IF(E8=0,0,F8/E8)</f>
        <v/>
      </c>
      <c r="K8" s="36">
        <f>SUMIFS(Reto!$F$8:$F$37,Reto!$L$8:$L$37,B8,Reto!$E$8:$E$37,"reps")</f>
        <v/>
      </c>
      <c r="L8" s="30">
        <f>IFERROR(SUMIFS(Reto!$G$8:$G$37,Reto!$L$8:$L$37,B8)/COUNTIFS(Reto!$L$8:$L$37,B8,Reto!$G$8:$G$37,"&gt;=0"),"")</f>
        <v/>
      </c>
    </row>
    <row r="9">
      <c r="B9" s="9" t="n">
        <v>2</v>
      </c>
      <c r="C9" s="31">
        <f>Panel!$C$5+(B9-1)*7</f>
        <v/>
      </c>
      <c r="D9" s="31">
        <f>MIN(C9+6,Panel!$C$5+29)</f>
        <v/>
      </c>
      <c r="E9" s="27">
        <f>SUMPRODUCT((Reto!$L$8:$L$37=B9)*(Reto!$C$8:$C$37&lt;&gt;"")*(Reto!$C$8:$C$37&lt;&gt;"Descanso"))</f>
        <v/>
      </c>
      <c r="F9" s="27">
        <f>COUNTIFS(Reto!$L$8:$L$37,B9,Reto!$H$8:$H$37,"Completado")</f>
        <v/>
      </c>
      <c r="G9" s="27">
        <f>COUNTIFS(Reto!$L$8:$L$37,B9,Reto!$H$8:$H$37,"Parcial")</f>
        <v/>
      </c>
      <c r="H9" s="27">
        <f>COUNTIFS(Reto!$L$8:$L$37,B9,Reto!$H$8:$H$37,"Fallado")</f>
        <v/>
      </c>
      <c r="I9" s="27">
        <f>COUNTIFS(Reto!$L$8:$L$37,B9,Reto!$H$8:$H$37,"Pendiente")</f>
        <v/>
      </c>
      <c r="J9" s="30">
        <f>IF(E9=0,0,F9/E9)</f>
        <v/>
      </c>
      <c r="K9" s="36">
        <f>SUMIFS(Reto!$F$8:$F$37,Reto!$L$8:$L$37,B9,Reto!$E$8:$E$37,"reps")</f>
        <v/>
      </c>
      <c r="L9" s="30">
        <f>IFERROR(SUMIFS(Reto!$G$8:$G$37,Reto!$L$8:$L$37,B9)/COUNTIFS(Reto!$L$8:$L$37,B9,Reto!$G$8:$G$37,"&gt;=0"),"")</f>
        <v/>
      </c>
    </row>
    <row r="10">
      <c r="B10" s="9" t="n">
        <v>3</v>
      </c>
      <c r="C10" s="31">
        <f>Panel!$C$5+(B10-1)*7</f>
        <v/>
      </c>
      <c r="D10" s="31">
        <f>MIN(C10+6,Panel!$C$5+29)</f>
        <v/>
      </c>
      <c r="E10" s="27">
        <f>SUMPRODUCT((Reto!$L$8:$L$37=B10)*(Reto!$C$8:$C$37&lt;&gt;"")*(Reto!$C$8:$C$37&lt;&gt;"Descanso"))</f>
        <v/>
      </c>
      <c r="F10" s="27">
        <f>COUNTIFS(Reto!$L$8:$L$37,B10,Reto!$H$8:$H$37,"Completado")</f>
        <v/>
      </c>
      <c r="G10" s="27">
        <f>COUNTIFS(Reto!$L$8:$L$37,B10,Reto!$H$8:$H$37,"Parcial")</f>
        <v/>
      </c>
      <c r="H10" s="27">
        <f>COUNTIFS(Reto!$L$8:$L$37,B10,Reto!$H$8:$H$37,"Fallado")</f>
        <v/>
      </c>
      <c r="I10" s="27">
        <f>COUNTIFS(Reto!$L$8:$L$37,B10,Reto!$H$8:$H$37,"Pendiente")</f>
        <v/>
      </c>
      <c r="J10" s="30">
        <f>IF(E10=0,0,F10/E10)</f>
        <v/>
      </c>
      <c r="K10" s="36">
        <f>SUMIFS(Reto!$F$8:$F$37,Reto!$L$8:$L$37,B10,Reto!$E$8:$E$37,"reps")</f>
        <v/>
      </c>
      <c r="L10" s="30">
        <f>IFERROR(SUMIFS(Reto!$G$8:$G$37,Reto!$L$8:$L$37,B10)/COUNTIFS(Reto!$L$8:$L$37,B10,Reto!$G$8:$G$37,"&gt;=0"),"")</f>
        <v/>
      </c>
    </row>
    <row r="11">
      <c r="B11" s="9" t="n">
        <v>4</v>
      </c>
      <c r="C11" s="31">
        <f>Panel!$C$5+(B11-1)*7</f>
        <v/>
      </c>
      <c r="D11" s="31">
        <f>MIN(C11+6,Panel!$C$5+29)</f>
        <v/>
      </c>
      <c r="E11" s="27">
        <f>SUMPRODUCT((Reto!$L$8:$L$37=B11)*(Reto!$C$8:$C$37&lt;&gt;"")*(Reto!$C$8:$C$37&lt;&gt;"Descanso"))</f>
        <v/>
      </c>
      <c r="F11" s="27">
        <f>COUNTIFS(Reto!$L$8:$L$37,B11,Reto!$H$8:$H$37,"Completado")</f>
        <v/>
      </c>
      <c r="G11" s="27">
        <f>COUNTIFS(Reto!$L$8:$L$37,B11,Reto!$H$8:$H$37,"Parcial")</f>
        <v/>
      </c>
      <c r="H11" s="27">
        <f>COUNTIFS(Reto!$L$8:$L$37,B11,Reto!$H$8:$H$37,"Fallado")</f>
        <v/>
      </c>
      <c r="I11" s="27">
        <f>COUNTIFS(Reto!$L$8:$L$37,B11,Reto!$H$8:$H$37,"Pendiente")</f>
        <v/>
      </c>
      <c r="J11" s="30">
        <f>IF(E11=0,0,F11/E11)</f>
        <v/>
      </c>
      <c r="K11" s="36">
        <f>SUMIFS(Reto!$F$8:$F$37,Reto!$L$8:$L$37,B11,Reto!$E$8:$E$37,"reps")</f>
        <v/>
      </c>
      <c r="L11" s="30">
        <f>IFERROR(SUMIFS(Reto!$G$8:$G$37,Reto!$L$8:$L$37,B11)/COUNTIFS(Reto!$L$8:$L$37,B11,Reto!$G$8:$G$37,"&gt;=0"),"")</f>
        <v/>
      </c>
    </row>
    <row r="12">
      <c r="B12" s="9" t="n">
        <v>5</v>
      </c>
      <c r="C12" s="31">
        <f>Panel!$C$5+(B12-1)*7</f>
        <v/>
      </c>
      <c r="D12" s="31">
        <f>MIN(C12+6,Panel!$C$5+29)</f>
        <v/>
      </c>
      <c r="E12" s="27">
        <f>SUMPRODUCT((Reto!$L$8:$L$37=B12)*(Reto!$C$8:$C$37&lt;&gt;"")*(Reto!$C$8:$C$37&lt;&gt;"Descanso"))</f>
        <v/>
      </c>
      <c r="F12" s="27">
        <f>COUNTIFS(Reto!$L$8:$L$37,B12,Reto!$H$8:$H$37,"Completado")</f>
        <v/>
      </c>
      <c r="G12" s="27">
        <f>COUNTIFS(Reto!$L$8:$L$37,B12,Reto!$H$8:$H$37,"Parcial")</f>
        <v/>
      </c>
      <c r="H12" s="27">
        <f>COUNTIFS(Reto!$L$8:$L$37,B12,Reto!$H$8:$H$37,"Fallado")</f>
        <v/>
      </c>
      <c r="I12" s="27">
        <f>COUNTIFS(Reto!$L$8:$L$37,B12,Reto!$H$8:$H$37,"Pendiente")</f>
        <v/>
      </c>
      <c r="J12" s="30">
        <f>IF(E12=0,0,F12/E12)</f>
        <v/>
      </c>
      <c r="K12" s="36">
        <f>SUMIFS(Reto!$F$8:$F$37,Reto!$L$8:$L$37,B12,Reto!$E$8:$E$37,"reps")</f>
        <v/>
      </c>
      <c r="L12" s="30">
        <f>IFERROR(SUMIFS(Reto!$G$8:$G$37,Reto!$L$8:$L$37,B12)/COUNTIFS(Reto!$L$8:$L$37,B12,Reto!$G$8:$G$37,"&gt;=0"),"")</f>
        <v/>
      </c>
    </row>
    <row r="13">
      <c r="B13" s="32" t="inlineStr">
        <is>
          <t>Total</t>
        </is>
      </c>
      <c r="C13" s="32" t="inlineStr"/>
      <c r="D13" s="32" t="inlineStr"/>
      <c r="E13" s="37">
        <f>SUM(E8:E12)</f>
        <v/>
      </c>
      <c r="F13" s="37">
        <f>SUM(F8:F12)</f>
        <v/>
      </c>
      <c r="G13" s="37">
        <f>SUM(G8:G12)</f>
        <v/>
      </c>
      <c r="H13" s="37">
        <f>SUM(H8:H12)</f>
        <v/>
      </c>
      <c r="I13" s="37">
        <f>SUM(I8:I12)</f>
        <v/>
      </c>
      <c r="J13" s="34">
        <f>IF(E13=0,0,F13/E13)</f>
        <v/>
      </c>
      <c r="K13" s="33">
        <f>SUM(K8:K12)</f>
        <v/>
      </c>
      <c r="L13" s="34">
        <f>IFERROR(SUM(Reto!$G$8:$G$37)/COUNT(Reto!$G$8:$G$37),0)</f>
        <v/>
      </c>
    </row>
    <row r="15">
      <c r="B15" s="22" t="inlineStr">
        <is>
          <t>La semana 5 solo tiene 2 días (29 y 30). Las repeticiones realizadas no incluyen los ejercicios medidos en segundos.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J8:J12">
    <cfRule type="dataBar" priority="1">
      <dataBar>
        <cfvo type="num" val="0"/>
        <cfvo type="max"/>
        <color rgb="0010B981"/>
      </dataBar>
    </cfRule>
    <cfRule type="expression" priority="2" dxfId="0">
      <formula>AND(ISNUMBER(J8),J8&gt;=0.8)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Reto de 30 días de ejercicio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5" t="inlineStr">
        <is>
          <t>CÓMO USARLA</t>
        </is>
      </c>
    </row>
    <row r="6" ht="30" customHeight="1">
      <c r="B6" s="38" t="inlineStr">
        <is>
          <t>1.  Abre la hoja «Panel» y escribe la fecha de inicio de tu reto (celda C5). Deja el ajuste de nivel en 100 % o cámbialo si quieres objetivos más suaves o más exigentes.</t>
        </is>
      </c>
    </row>
    <row r="7" ht="30" customHeight="1">
      <c r="B7" s="38" t="inlineStr">
        <is>
          <t>2.  Fija el umbral «Parcial desde» (C7): un día cuenta como «Parcial» si llegas a ese % del objetivo sin completarlo.</t>
        </is>
      </c>
    </row>
    <row r="8" ht="30" customHeight="1">
      <c r="B8" s="38" t="inlineStr">
        <is>
          <t>3.  En la hoja «Ejercicios» revisa o cambia los ejercicios, su unidad (reps o seg), el objetivo del día 1 y cuánto sube cada semana. Hay filas libres para añadir los tuyos.</t>
        </is>
      </c>
    </row>
    <row r="9" ht="30" customHeight="1">
      <c r="B9" s="38" t="inlineStr">
        <is>
          <t>4.  En la hoja «Reto» elige para cada uno de los 30 días el ejercicio en la columna «Ejercicio del día» (desplegable). Usa «Descanso» para los días libres.</t>
        </is>
      </c>
    </row>
    <row r="10" ht="30" customHeight="1">
      <c r="B10" s="38" t="inlineStr">
        <is>
          <t>5.  Cada día, al terminar, escribe en «Realizadas» las repeticiones (o segundos) que has hecho. El objetivo, el % cumplido, el estado y la racha se calculan solos.</t>
        </is>
      </c>
    </row>
    <row r="11" ht="30" customHeight="1">
      <c r="B11" s="38" t="inlineStr">
        <is>
          <t>6.  Si quieres, anota en la columna «Nota» cómo ha ido el día (cansancio, sensaciones, material usado).</t>
        </is>
      </c>
    </row>
    <row r="12" ht="30" customHeight="1">
      <c r="B12" s="38" t="inlineStr">
        <is>
          <t>7.  Mira el «Panel»: casillas completadas del tablero de 30 días, % del reto, racha actual, mejor racha, repeticiones totales y los dos gráficos.</t>
        </is>
      </c>
    </row>
    <row r="13" ht="30" customHeight="1">
      <c r="B13" s="38" t="inlineStr">
        <is>
          <t>8.  Consulta «Semanas» para ver el balance de cada bloque de 7 días y detectar en qué semana se te complica más.</t>
        </is>
      </c>
    </row>
    <row r="15">
      <c r="B15" s="15" t="inlineStr">
        <is>
          <t>CONSEJOS</t>
        </is>
      </c>
    </row>
    <row r="16" ht="30" customHeight="1">
      <c r="B16" s="38" t="inlineStr">
        <is>
          <t>•  Los datos de ejemplo (a partir del 14/09/2026, 20 días registrados) son ficticios: para empezar de cero borra solo las celdas de «Realizadas» y «Nota» de la hoja «Reto».</t>
        </is>
      </c>
    </row>
    <row r="17" ht="18" customHeight="1">
      <c r="B17" s="38" t="inlineStr">
        <is>
          <t>•  Los días de descanso no rompen la racha, pero un día «Parcial» o «Fallado» sí la pone a cero.</t>
        </is>
      </c>
    </row>
    <row r="18" ht="30" customHeight="1">
      <c r="B18" s="38" t="inlineStr">
        <is>
          <t>•  Los objetivos de ejemplo (por ejemplo 15 sentadillas el día 1 con subida de 3 por semana) son solo valores editables, no una recomendación; adáptalos a tu forma física.</t>
        </is>
      </c>
    </row>
    <row r="19" ht="30" customHeight="1">
      <c r="B19" s="38" t="inlineStr">
        <is>
          <t>•  Las hojas están protegidas sin contraseña; para ampliar o cambiar fórmulas ve a Revisar &gt; Desproteger hoja.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39" t="inlineStr">
        <is>
          <t>Aviso: esta plantilla sirve únicamente para registrar y organizar tu reto de ejercicio. No es una pauta de entrenamiento ni sustituye el consejo de un médico o profesional sanitario; si tienes dudas o alguna condición de salud, consúltalo antes de empezar.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2026-10-03T09:39:39Z</dcterms:created>
  <dcterms:modified xmlns:dcterms="http://purl.org/dc/terms/" xmlns:xsi="http://www.w3.org/2001/XMLSchema-instance" xsi:type="dcterms:W3CDTF">2026-10-03T09:39:39Z</dcterms:modified>
</cp:coreProperties>
</file>