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Rutina" sheetId="3" state="visible" r:id="rId3"/>
    <sheet xmlns:r="http://schemas.openxmlformats.org/officeDocument/2006/relationships" name="Registro" sheetId="4" state="visible" r:id="rId4"/>
    <sheet xmlns:r="http://schemas.openxmlformats.org/officeDocument/2006/relationships" name="Progreso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yyyy-mm-dd"/>
    <numFmt numFmtId="166" formatCode="dd/mm/yyyy"/>
    <numFmt numFmtId="167" formatCode="0.0%"/>
    <numFmt numFmtId="168" formatCode="+0.0;-0.0;0.0"/>
    <numFmt numFmtId="169" formatCode="#,##0&quot; kg&quot;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1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0" fillId="2" borderId="0" pivotButton="0" quotePrefix="0" xfId="0"/>
    <xf numFmtId="0" fontId="9" fillId="5" borderId="0" applyAlignment="1" pivotButton="0" quotePrefix="0" xfId="0">
      <alignment horizontal="center" vertical="center" wrapText="1"/>
    </xf>
    <xf numFmtId="1" fontId="10" fillId="5" borderId="0" applyAlignment="1" pivotButton="0" quotePrefix="0" xfId="0">
      <alignment horizontal="center" vertical="center"/>
    </xf>
    <xf numFmtId="3" fontId="10" fillId="5" borderId="0" applyAlignment="1" pivotButton="0" quotePrefix="0" xfId="0">
      <alignment horizontal="center" vertical="center"/>
    </xf>
    <xf numFmtId="169" fontId="10" fillId="5" borderId="0" applyAlignment="1" pivotButton="0" quotePrefix="0" xfId="0">
      <alignment horizontal="center" vertical="center"/>
    </xf>
    <xf numFmtId="167" fontId="10" fillId="5" borderId="0" applyAlignment="1" pivotButton="0" quotePrefix="0" xfId="0">
      <alignment horizontal="center" vertical="center"/>
    </xf>
    <xf numFmtId="164" fontId="10" fillId="5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12" fillId="6" borderId="1" applyAlignment="1" pivotButton="0" quotePrefix="0" xfId="0">
      <alignment vertical="center"/>
    </xf>
    <xf numFmtId="3" fontId="12" fillId="6" borderId="1" applyAlignment="1" pivotButton="0" quotePrefix="0" xfId="0">
      <alignment vertical="center"/>
    </xf>
    <xf numFmtId="167" fontId="12" fillId="6" borderId="1" applyAlignment="1" pivotButton="0" quotePrefix="0" xfId="0">
      <alignment vertical="center"/>
    </xf>
    <xf numFmtId="3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4" fontId="6" fillId="0" borderId="1" applyAlignment="1" pivotButton="0" quotePrefix="0" xfId="0">
      <alignment horizontal="center" vertical="center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8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047857"/>
      </font>
      <fill>
        <patternFill patternType="solid">
          <fgColor rgb="00ECFDF5"/>
          <bgColor rgb="00ECFDF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Volumen semanal (kg)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'Panel'!H12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'Panel'!$B$13:$B$19</f>
            </numRef>
          </cat>
          <val>
            <numRef>
              <f>'Panel'!$H$13:$H$19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Series por grupo muscular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'Panel'!$B$34:$B$41</f>
            </numRef>
          </cat>
          <val>
            <numRef>
              <f>'Panel'!$C$34:$C$41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rutina de entrenamiento en casa</t>
        </is>
      </c>
    </row>
    <row r="3">
      <c r="B3" s="2" t="inlineStr">
        <is>
          <t>Plantilla gratuita de Plantillas de Cálculo · plantillasdecalculo.com</t>
        </is>
      </c>
    </row>
    <row r="5">
      <c r="B5" s="3" t="inlineStr">
        <is>
          <t>CÓMO USARLA</t>
        </is>
      </c>
    </row>
    <row r="6" ht="30" customHeight="1">
      <c r="B6" s="4" t="inlineStr">
        <is>
          <t>1.  Abre la hoja «Rutina» y ajusta arriba los tres parámetros: segundos por repetición (D5, solo para estimar el tiempo), umbral «cumplido» (H5) y sesiones objetivo por semana (L5).</t>
        </is>
      </c>
    </row>
    <row r="7" ht="30" customHeight="1">
      <c r="B7" s="4" t="inlineStr">
        <is>
          <t>2.  En la tabla de la hoja «Rutina» sustituye el plan de ejemplo por el tuyo: día, ejercicio, grupo muscular, material, series, repeticiones, descanso en segundos y peso objetivo en kg (0 si usas solo tu peso corporal).</t>
        </is>
      </c>
    </row>
    <row r="8" ht="30" customHeight="1">
      <c r="B8" s="4" t="inlineStr">
        <is>
          <t>3.  Las columnas Reps totales obj., Volumen obj., Tiempo est. y Veces hecho se calculan solas. Dispones de 30 filas para ejercicios.</t>
        </is>
      </c>
    </row>
    <row r="9" ht="30" customHeight="1">
      <c r="B9" s="4" t="inlineStr">
        <is>
          <t>4.  En la hoja «Registro» escribe la fecha en la columna B y elige el ejercicio en la lista desplegable de la columna D (sale de tu «Rutina»).</t>
        </is>
      </c>
    </row>
    <row r="10" ht="30" customHeight="1">
      <c r="B10" s="4" t="inlineStr">
        <is>
          <t>5.  Anota las series hechas, la media de repeticiones por serie, el peso usado en kg y, si quieres, tu sensación de esfuerzo de 1 a 10. Una fila por ejercicio y sesión.</t>
        </is>
      </c>
    </row>
    <row r="11" ht="30" customHeight="1">
      <c r="B11" s="4" t="inlineStr">
        <is>
          <t>6.  La plantilla calcula el grupo, las reps totales, el volumen (reps x kg), el % frente al objetivo, el estado (Superado, Cumplido o Por debajo) y una estimación de 1RM orientativa.</t>
        </is>
      </c>
    </row>
    <row r="12" ht="30" customHeight="1">
      <c r="B12" s="4" t="inlineStr">
        <is>
          <t>7.  Registra siempre en orden cronológico: la hoja «Progreso» toma la primera y la última fila de cada ejercicio para comparar tu peso inicial con el actual.</t>
        </is>
      </c>
    </row>
    <row r="13" ht="30" customHeight="1">
      <c r="B13" s="4" t="inlineStr">
        <is>
          <t>8.  Consulta la hoja «Panel» para ver las sesiones por semana, el volumen total, el reparto por grupo muscular y los dos gráficos. Hay 120 filas de registro preparadas.</t>
        </is>
      </c>
    </row>
    <row r="15">
      <c r="B15" s="3" t="inlineStr">
        <is>
          <t>CONSEJOS</t>
        </is>
      </c>
    </row>
    <row r="16" ht="30" customHeight="1">
      <c r="B16" s="4" t="inlineStr">
        <is>
          <t>•  Los datos de ejemplo (rutina de 3 días y 15 registros) son ficticios: bórralos (solo las celdas crema) antes de empezar.</t>
        </is>
      </c>
    </row>
    <row r="17" ht="30" customHeight="1">
      <c r="B17" s="4" t="inlineStr">
        <is>
          <t>•  El volumen se calcula como series x repeticiones x peso. En ejercicios con tu peso corporal (peso 0) el % objetivo se mide por repeticiones totales.</t>
        </is>
      </c>
    </row>
    <row r="18" ht="30" customHeight="1">
      <c r="B18" s="4" t="inlineStr">
        <is>
          <t>•  El umbral «cumplido», el objetivo de sesiones y la cadencia son valores editables: la plantilla no fija cifras ni recomienda cargas.</t>
        </is>
      </c>
    </row>
    <row r="19" ht="30" customHeight="1">
      <c r="B19" s="4" t="inlineStr">
        <is>
          <t>•  Si escribes un ejercicio que no está en «Rutina», verás «¿En la rutina?» en la columna Grupo: añádelo primero a la hoja «Rutina».</t>
        </is>
      </c>
    </row>
    <row r="20" ht="30" customHeight="1">
      <c r="B20" s="4" t="inlineStr">
        <is>
          <t>•  Las hojas están protegidas sin contraseña (Revisar &gt; Desproteger hoja) para que no se rompan las fórmulas por error.</t>
        </is>
      </c>
    </row>
    <row r="22">
      <c r="B22" s="5" t="inlineStr">
        <is>
          <t>Las celdas con fondo crema y texto azul son para rellenar; las verdes se calculan solas.</t>
        </is>
      </c>
    </row>
    <row r="24" ht="44" customHeight="1">
      <c r="B24" s="6" t="inlineStr">
        <is>
          <t>Aviso: esta plantilla sirve solo para registrar y organizar tus entrenamientos. No diseña rutinas, no prescribe ejercicios ni cargas y no sustituye a un entrenador, médico o fisioterapeuta. Si tienes lesiones o dudas sobre tu salud, consulta antes con un profesional sanitario.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2" ht="34" customHeight="1">
      <c r="B2" s="1" t="inlineStr">
        <is>
          <t>Panel de entrenamiento en casa</t>
        </is>
      </c>
      <c r="C2" s="7" t="n"/>
      <c r="D2" s="7" t="n"/>
      <c r="E2" s="7" t="n"/>
      <c r="F2" s="7" t="n"/>
      <c r="G2" s="7" t="n"/>
      <c r="H2" s="7" t="n"/>
      <c r="I2" s="7" t="n"/>
    </row>
    <row r="3">
      <c r="B3" s="2" t="inlineStr">
        <is>
          <t>Resumen automático de tu registro: sesiones, volumen, cumplimiento del plan, semanas y reparto por grupo muscular.</t>
        </is>
      </c>
    </row>
    <row r="5" ht="22" customHeight="1">
      <c r="B5" s="8" t="inlineStr">
        <is>
          <t>SESIONES REGISTRADAS</t>
        </is>
      </c>
      <c r="D5" s="8" t="inlineStr">
        <is>
          <t>SERIES TOTALES</t>
        </is>
      </c>
      <c r="F5" s="8" t="inlineStr">
        <is>
          <t>REPS TOTALES</t>
        </is>
      </c>
      <c r="H5" s="8" t="inlineStr">
        <is>
          <t>VOLUMEN TOTAL</t>
        </is>
      </c>
    </row>
    <row r="6" ht="36" customHeight="1">
      <c r="B6" s="9">
        <f>SUM(Registro!$P$8:$P$127)</f>
        <v/>
      </c>
      <c r="D6" s="10">
        <f>SUM(Registro!$F$8:$F$127)</f>
        <v/>
      </c>
      <c r="F6" s="10">
        <f>SUM(Registro!$J$8:$J$127)</f>
        <v/>
      </c>
      <c r="H6" s="11">
        <f>SUM(Registro!$K$8:$K$127)</f>
        <v/>
      </c>
    </row>
    <row r="8" ht="22" customHeight="1">
      <c r="B8" s="8" t="inlineStr">
        <is>
          <t>% EJERCICIOS CUMPLIDOS</t>
        </is>
      </c>
      <c r="D8" s="8" t="inlineStr">
        <is>
          <t>ESFUERZO MEDIO (1-10)</t>
        </is>
      </c>
      <c r="F8" s="8" t="inlineStr">
        <is>
          <t>SESIONES / SEMANA</t>
        </is>
      </c>
      <c r="H8" s="8" t="inlineStr">
        <is>
          <t>EJERCICIOS EN MEJORA</t>
        </is>
      </c>
    </row>
    <row r="9" ht="36" customHeight="1">
      <c r="B9" s="12">
        <f>IFERROR((COUNTIF(Registro!$M$8:$M$127,"Superado")+COUNTIF(Registro!$M$8:$M$127,"Cumplido"))/(COUNTIF(Registro!$M$8:$M$127,"Superado")+COUNTIF(Registro!$M$8:$M$127,"Cumplido")+COUNTIF(Registro!$M$8:$M$127,"Por debajo")),0)</f>
        <v/>
      </c>
      <c r="D9" s="13">
        <f>IFERROR(AVERAGE(Registro!$I$8:$I$127),0)</f>
        <v/>
      </c>
      <c r="F9" s="13">
        <f>IFERROR(AVERAGE(E13:E19),0)</f>
        <v/>
      </c>
      <c r="H9" s="9">
        <f>COUNTIF(Progreso!N8:N37,"Mejora")</f>
        <v/>
      </c>
    </row>
    <row r="11">
      <c r="B11" s="3" t="inlineStr">
        <is>
          <t>Resumen por semanas naturales (lunes a domingo)</t>
        </is>
      </c>
    </row>
    <row r="12" ht="32" customHeight="1">
      <c r="B12" s="14" t="inlineStr">
        <is>
          <t>Semana</t>
        </is>
      </c>
      <c r="C12" s="14" t="inlineStr">
        <is>
          <t>Desde</t>
        </is>
      </c>
      <c r="D12" s="14" t="inlineStr">
        <is>
          <t>Hasta</t>
        </is>
      </c>
      <c r="E12" s="14" t="inlineStr">
        <is>
          <t>Sesiones</t>
        </is>
      </c>
      <c r="F12" s="14" t="inlineStr">
        <is>
          <t>Series</t>
        </is>
      </c>
      <c r="G12" s="14" t="inlineStr">
        <is>
          <t>Reps totales</t>
        </is>
      </c>
      <c r="H12" s="14" t="inlineStr">
        <is>
          <t>Volumen (kg)</t>
        </is>
      </c>
      <c r="I12" s="14" t="inlineStr">
        <is>
          <t>% sesiones objetivo</t>
        </is>
      </c>
    </row>
    <row r="13">
      <c r="B13" s="15" t="inlineStr">
        <is>
          <t>Sem. 1</t>
        </is>
      </c>
      <c r="C13" s="16">
        <f>IF(COUNT(Registro!$B$8:$B$127)=0,"",MIN(Registro!$B$8:$B$127)-WEEKDAY(MIN(Registro!$B$8:$B$127),2)+1)</f>
        <v/>
      </c>
      <c r="D13" s="16">
        <f>IF(C13="","",C13+6)</f>
        <v/>
      </c>
      <c r="E13" s="17">
        <f>IF(C13="","",SUMIFS(Registro!$P$8:$P$127,Registro!$B$8:$B$127,"&gt;="&amp;C13,Registro!$B$8:$B$127,"&lt;="&amp;D13))</f>
        <v/>
      </c>
      <c r="F13" s="17">
        <f>IF(C13="","",SUMIFS(Registro!$F$8:$F$127,Registro!$B$8:$B$127,"&gt;="&amp;C13,Registro!$B$8:$B$127,"&lt;="&amp;D13))</f>
        <v/>
      </c>
      <c r="G13" s="18">
        <f>IF(C13="","",SUMIFS(Registro!$J$8:$J$127,Registro!$B$8:$B$127,"&gt;="&amp;C13,Registro!$B$8:$B$127,"&lt;="&amp;D13))</f>
        <v/>
      </c>
      <c r="H13" s="18">
        <f>IF(C13="","",SUMIFS(Registro!$K$8:$K$127,Registro!$B$8:$B$127,"&gt;="&amp;C13,Registro!$B$8:$B$127,"&lt;="&amp;D13))</f>
        <v/>
      </c>
      <c r="I13" s="19">
        <f>IF(C13="","",E13/Rutina!$L$5)</f>
        <v/>
      </c>
    </row>
    <row r="14">
      <c r="B14" s="15" t="inlineStr">
        <is>
          <t>Sem. 2</t>
        </is>
      </c>
      <c r="C14" s="16">
        <f>IF(C13="","",IF(C13+7&gt;MAX(Registro!$B$8:$B$127),"",C13+7))</f>
        <v/>
      </c>
      <c r="D14" s="16">
        <f>IF(C14="","",C14+6)</f>
        <v/>
      </c>
      <c r="E14" s="17">
        <f>IF(C14="","",SUMIFS(Registro!$P$8:$P$127,Registro!$B$8:$B$127,"&gt;="&amp;C14,Registro!$B$8:$B$127,"&lt;="&amp;D14))</f>
        <v/>
      </c>
      <c r="F14" s="17">
        <f>IF(C14="","",SUMIFS(Registro!$F$8:$F$127,Registro!$B$8:$B$127,"&gt;="&amp;C14,Registro!$B$8:$B$127,"&lt;="&amp;D14))</f>
        <v/>
      </c>
      <c r="G14" s="18">
        <f>IF(C14="","",SUMIFS(Registro!$J$8:$J$127,Registro!$B$8:$B$127,"&gt;="&amp;C14,Registro!$B$8:$B$127,"&lt;="&amp;D14))</f>
        <v/>
      </c>
      <c r="H14" s="18">
        <f>IF(C14="","",SUMIFS(Registro!$K$8:$K$127,Registro!$B$8:$B$127,"&gt;="&amp;C14,Registro!$B$8:$B$127,"&lt;="&amp;D14))</f>
        <v/>
      </c>
      <c r="I14" s="19">
        <f>IF(C14="","",E14/Rutina!$L$5)</f>
        <v/>
      </c>
    </row>
    <row r="15">
      <c r="B15" s="15" t="inlineStr">
        <is>
          <t>Sem. 3</t>
        </is>
      </c>
      <c r="C15" s="16">
        <f>IF(C14="","",IF(C14+7&gt;MAX(Registro!$B$8:$B$127),"",C14+7))</f>
        <v/>
      </c>
      <c r="D15" s="16">
        <f>IF(C15="","",C15+6)</f>
        <v/>
      </c>
      <c r="E15" s="17">
        <f>IF(C15="","",SUMIFS(Registro!$P$8:$P$127,Registro!$B$8:$B$127,"&gt;="&amp;C15,Registro!$B$8:$B$127,"&lt;="&amp;D15))</f>
        <v/>
      </c>
      <c r="F15" s="17">
        <f>IF(C15="","",SUMIFS(Registro!$F$8:$F$127,Registro!$B$8:$B$127,"&gt;="&amp;C15,Registro!$B$8:$B$127,"&lt;="&amp;D15))</f>
        <v/>
      </c>
      <c r="G15" s="18">
        <f>IF(C15="","",SUMIFS(Registro!$J$8:$J$127,Registro!$B$8:$B$127,"&gt;="&amp;C15,Registro!$B$8:$B$127,"&lt;="&amp;D15))</f>
        <v/>
      </c>
      <c r="H15" s="18">
        <f>IF(C15="","",SUMIFS(Registro!$K$8:$K$127,Registro!$B$8:$B$127,"&gt;="&amp;C15,Registro!$B$8:$B$127,"&lt;="&amp;D15))</f>
        <v/>
      </c>
      <c r="I15" s="19">
        <f>IF(C15="","",E15/Rutina!$L$5)</f>
        <v/>
      </c>
    </row>
    <row r="16">
      <c r="B16" s="15" t="inlineStr">
        <is>
          <t>Sem. 4</t>
        </is>
      </c>
      <c r="C16" s="16">
        <f>IF(C15="","",IF(C15+7&gt;MAX(Registro!$B$8:$B$127),"",C15+7))</f>
        <v/>
      </c>
      <c r="D16" s="16">
        <f>IF(C16="","",C16+6)</f>
        <v/>
      </c>
      <c r="E16" s="17">
        <f>IF(C16="","",SUMIFS(Registro!$P$8:$P$127,Registro!$B$8:$B$127,"&gt;="&amp;C16,Registro!$B$8:$B$127,"&lt;="&amp;D16))</f>
        <v/>
      </c>
      <c r="F16" s="17">
        <f>IF(C16="","",SUMIFS(Registro!$F$8:$F$127,Registro!$B$8:$B$127,"&gt;="&amp;C16,Registro!$B$8:$B$127,"&lt;="&amp;D16))</f>
        <v/>
      </c>
      <c r="G16" s="18">
        <f>IF(C16="","",SUMIFS(Registro!$J$8:$J$127,Registro!$B$8:$B$127,"&gt;="&amp;C16,Registro!$B$8:$B$127,"&lt;="&amp;D16))</f>
        <v/>
      </c>
      <c r="H16" s="18">
        <f>IF(C16="","",SUMIFS(Registro!$K$8:$K$127,Registro!$B$8:$B$127,"&gt;="&amp;C16,Registro!$B$8:$B$127,"&lt;="&amp;D16))</f>
        <v/>
      </c>
      <c r="I16" s="19">
        <f>IF(C16="","",E16/Rutina!$L$5)</f>
        <v/>
      </c>
    </row>
    <row r="17">
      <c r="B17" s="15" t="inlineStr">
        <is>
          <t>Sem. 5</t>
        </is>
      </c>
      <c r="C17" s="16">
        <f>IF(C16="","",IF(C16+7&gt;MAX(Registro!$B$8:$B$127),"",C16+7))</f>
        <v/>
      </c>
      <c r="D17" s="16">
        <f>IF(C17="","",C17+6)</f>
        <v/>
      </c>
      <c r="E17" s="17">
        <f>IF(C17="","",SUMIFS(Registro!$P$8:$P$127,Registro!$B$8:$B$127,"&gt;="&amp;C17,Registro!$B$8:$B$127,"&lt;="&amp;D17))</f>
        <v/>
      </c>
      <c r="F17" s="17">
        <f>IF(C17="","",SUMIFS(Registro!$F$8:$F$127,Registro!$B$8:$B$127,"&gt;="&amp;C17,Registro!$B$8:$B$127,"&lt;="&amp;D17))</f>
        <v/>
      </c>
      <c r="G17" s="18">
        <f>IF(C17="","",SUMIFS(Registro!$J$8:$J$127,Registro!$B$8:$B$127,"&gt;="&amp;C17,Registro!$B$8:$B$127,"&lt;="&amp;D17))</f>
        <v/>
      </c>
      <c r="H17" s="18">
        <f>IF(C17="","",SUMIFS(Registro!$K$8:$K$127,Registro!$B$8:$B$127,"&gt;="&amp;C17,Registro!$B$8:$B$127,"&lt;="&amp;D17))</f>
        <v/>
      </c>
      <c r="I17" s="19">
        <f>IF(C17="","",E17/Rutina!$L$5)</f>
        <v/>
      </c>
    </row>
    <row r="18">
      <c r="B18" s="15" t="inlineStr">
        <is>
          <t>Sem. 6</t>
        </is>
      </c>
      <c r="C18" s="16">
        <f>IF(C17="","",IF(C17+7&gt;MAX(Registro!$B$8:$B$127),"",C17+7))</f>
        <v/>
      </c>
      <c r="D18" s="16">
        <f>IF(C18="","",C18+6)</f>
        <v/>
      </c>
      <c r="E18" s="17">
        <f>IF(C18="","",SUMIFS(Registro!$P$8:$P$127,Registro!$B$8:$B$127,"&gt;="&amp;C18,Registro!$B$8:$B$127,"&lt;="&amp;D18))</f>
        <v/>
      </c>
      <c r="F18" s="17">
        <f>IF(C18="","",SUMIFS(Registro!$F$8:$F$127,Registro!$B$8:$B$127,"&gt;="&amp;C18,Registro!$B$8:$B$127,"&lt;="&amp;D18))</f>
        <v/>
      </c>
      <c r="G18" s="18">
        <f>IF(C18="","",SUMIFS(Registro!$J$8:$J$127,Registro!$B$8:$B$127,"&gt;="&amp;C18,Registro!$B$8:$B$127,"&lt;="&amp;D18))</f>
        <v/>
      </c>
      <c r="H18" s="18">
        <f>IF(C18="","",SUMIFS(Registro!$K$8:$K$127,Registro!$B$8:$B$127,"&gt;="&amp;C18,Registro!$B$8:$B$127,"&lt;="&amp;D18))</f>
        <v/>
      </c>
      <c r="I18" s="19">
        <f>IF(C18="","",E18/Rutina!$L$5)</f>
        <v/>
      </c>
    </row>
    <row r="19">
      <c r="B19" s="15" t="inlineStr">
        <is>
          <t>Sem. 7</t>
        </is>
      </c>
      <c r="C19" s="16">
        <f>IF(C18="","",IF(C18+7&gt;MAX(Registro!$B$8:$B$127),"",C18+7))</f>
        <v/>
      </c>
      <c r="D19" s="16">
        <f>IF(C19="","",C19+6)</f>
        <v/>
      </c>
      <c r="E19" s="17">
        <f>IF(C19="","",SUMIFS(Registro!$P$8:$P$127,Registro!$B$8:$B$127,"&gt;="&amp;C19,Registro!$B$8:$B$127,"&lt;="&amp;D19))</f>
        <v/>
      </c>
      <c r="F19" s="17">
        <f>IF(C19="","",SUMIFS(Registro!$F$8:$F$127,Registro!$B$8:$B$127,"&gt;="&amp;C19,Registro!$B$8:$B$127,"&lt;="&amp;D19))</f>
        <v/>
      </c>
      <c r="G19" s="18">
        <f>IF(C19="","",SUMIFS(Registro!$J$8:$J$127,Registro!$B$8:$B$127,"&gt;="&amp;C19,Registro!$B$8:$B$127,"&lt;="&amp;D19))</f>
        <v/>
      </c>
      <c r="H19" s="18">
        <f>IF(C19="","",SUMIFS(Registro!$K$8:$K$127,Registro!$B$8:$B$127,"&gt;="&amp;C19,Registro!$B$8:$B$127,"&lt;="&amp;D19))</f>
        <v/>
      </c>
      <c r="I19" s="19">
        <f>IF(C19="","",E19/Rutina!$L$5)</f>
        <v/>
      </c>
    </row>
    <row r="21">
      <c r="B21" s="3" t="inlineStr">
        <is>
          <t>Plan semanal (desde la hoja «Rutina»)</t>
        </is>
      </c>
    </row>
    <row r="22" ht="32" customHeight="1">
      <c r="B22" s="14" t="inlineStr">
        <is>
          <t>Día</t>
        </is>
      </c>
      <c r="C22" s="14" t="inlineStr">
        <is>
          <t>Ejercicios</t>
        </is>
      </c>
      <c r="D22" s="14" t="inlineStr">
        <is>
          <t>Series</t>
        </is>
      </c>
      <c r="E22" s="14" t="inlineStr">
        <is>
          <t>Reps totales obj.</t>
        </is>
      </c>
      <c r="F22" s="14" t="inlineStr">
        <is>
          <t>Tiempo est. (min)</t>
        </is>
      </c>
    </row>
    <row r="23">
      <c r="B23" s="20">
        <f>Listas!A2</f>
        <v/>
      </c>
      <c r="C23" s="17">
        <f>COUNTIF(Rutina!$B$8:$B$37,B23)</f>
        <v/>
      </c>
      <c r="D23" s="17">
        <f>SUMIF(Rutina!$B$8:$B$37,B23,Rutina!$F$8:$F$37)</f>
        <v/>
      </c>
      <c r="E23" s="18">
        <f>SUMIF(Rutina!$B$8:$B$37,B23,Rutina!$J$8:$J$37)</f>
        <v/>
      </c>
      <c r="F23" s="17">
        <f>SUMIF(Rutina!$B$8:$B$37,B23,Rutina!$L$8:$L$37)</f>
        <v/>
      </c>
    </row>
    <row r="24">
      <c r="B24" s="20">
        <f>Listas!A3</f>
        <v/>
      </c>
      <c r="C24" s="17">
        <f>COUNTIF(Rutina!$B$8:$B$37,B24)</f>
        <v/>
      </c>
      <c r="D24" s="17">
        <f>SUMIF(Rutina!$B$8:$B$37,B24,Rutina!$F$8:$F$37)</f>
        <v/>
      </c>
      <c r="E24" s="18">
        <f>SUMIF(Rutina!$B$8:$B$37,B24,Rutina!$J$8:$J$37)</f>
        <v/>
      </c>
      <c r="F24" s="17">
        <f>SUMIF(Rutina!$B$8:$B$37,B24,Rutina!$L$8:$L$37)</f>
        <v/>
      </c>
    </row>
    <row r="25">
      <c r="B25" s="20">
        <f>Listas!A4</f>
        <v/>
      </c>
      <c r="C25" s="17">
        <f>COUNTIF(Rutina!$B$8:$B$37,B25)</f>
        <v/>
      </c>
      <c r="D25" s="17">
        <f>SUMIF(Rutina!$B$8:$B$37,B25,Rutina!$F$8:$F$37)</f>
        <v/>
      </c>
      <c r="E25" s="18">
        <f>SUMIF(Rutina!$B$8:$B$37,B25,Rutina!$J$8:$J$37)</f>
        <v/>
      </c>
      <c r="F25" s="17">
        <f>SUMIF(Rutina!$B$8:$B$37,B25,Rutina!$L$8:$L$37)</f>
        <v/>
      </c>
    </row>
    <row r="26">
      <c r="B26" s="20">
        <f>Listas!A5</f>
        <v/>
      </c>
      <c r="C26" s="17">
        <f>COUNTIF(Rutina!$B$8:$B$37,B26)</f>
        <v/>
      </c>
      <c r="D26" s="17">
        <f>SUMIF(Rutina!$B$8:$B$37,B26,Rutina!$F$8:$F$37)</f>
        <v/>
      </c>
      <c r="E26" s="18">
        <f>SUMIF(Rutina!$B$8:$B$37,B26,Rutina!$J$8:$J$37)</f>
        <v/>
      </c>
      <c r="F26" s="17">
        <f>SUMIF(Rutina!$B$8:$B$37,B26,Rutina!$L$8:$L$37)</f>
        <v/>
      </c>
    </row>
    <row r="27">
      <c r="B27" s="20">
        <f>Listas!A6</f>
        <v/>
      </c>
      <c r="C27" s="17">
        <f>COUNTIF(Rutina!$B$8:$B$37,B27)</f>
        <v/>
      </c>
      <c r="D27" s="17">
        <f>SUMIF(Rutina!$B$8:$B$37,B27,Rutina!$F$8:$F$37)</f>
        <v/>
      </c>
      <c r="E27" s="18">
        <f>SUMIF(Rutina!$B$8:$B$37,B27,Rutina!$J$8:$J$37)</f>
        <v/>
      </c>
      <c r="F27" s="17">
        <f>SUMIF(Rutina!$B$8:$B$37,B27,Rutina!$L$8:$L$37)</f>
        <v/>
      </c>
    </row>
    <row r="28">
      <c r="B28" s="20">
        <f>Listas!A7</f>
        <v/>
      </c>
      <c r="C28" s="17">
        <f>COUNTIF(Rutina!$B$8:$B$37,B28)</f>
        <v/>
      </c>
      <c r="D28" s="17">
        <f>SUMIF(Rutina!$B$8:$B$37,B28,Rutina!$F$8:$F$37)</f>
        <v/>
      </c>
      <c r="E28" s="18">
        <f>SUMIF(Rutina!$B$8:$B$37,B28,Rutina!$J$8:$J$37)</f>
        <v/>
      </c>
      <c r="F28" s="17">
        <f>SUMIF(Rutina!$B$8:$B$37,B28,Rutina!$L$8:$L$37)</f>
        <v/>
      </c>
    </row>
    <row r="29">
      <c r="B29" s="20">
        <f>Listas!A8</f>
        <v/>
      </c>
      <c r="C29" s="17">
        <f>COUNTIF(Rutina!$B$8:$B$37,B29)</f>
        <v/>
      </c>
      <c r="D29" s="17">
        <f>SUMIF(Rutina!$B$8:$B$37,B29,Rutina!$F$8:$F$37)</f>
        <v/>
      </c>
      <c r="E29" s="18">
        <f>SUMIF(Rutina!$B$8:$B$37,B29,Rutina!$J$8:$J$37)</f>
        <v/>
      </c>
      <c r="F29" s="17">
        <f>SUMIF(Rutina!$B$8:$B$37,B29,Rutina!$L$8:$L$37)</f>
        <v/>
      </c>
    </row>
    <row r="30">
      <c r="B30" s="21" t="inlineStr">
        <is>
          <t>Total</t>
        </is>
      </c>
      <c r="C30" s="22">
        <f>SUM(C23:C29)</f>
        <v/>
      </c>
      <c r="D30" s="22">
        <f>SUM(D23:D29)</f>
        <v/>
      </c>
      <c r="E30" s="23">
        <f>SUM(E23:E29)</f>
        <v/>
      </c>
      <c r="F30" s="22">
        <f>SUM(F23:F29)</f>
        <v/>
      </c>
    </row>
    <row r="32">
      <c r="B32" s="3" t="inlineStr">
        <is>
          <t>Reparto por grupo muscular (lo registrado)</t>
        </is>
      </c>
    </row>
    <row r="33" ht="32" customHeight="1">
      <c r="B33" s="14" t="inlineStr">
        <is>
          <t>Grupo</t>
        </is>
      </c>
      <c r="C33" s="14" t="inlineStr">
        <is>
          <t>Series</t>
        </is>
      </c>
      <c r="D33" s="14" t="inlineStr">
        <is>
          <t>Reps totales</t>
        </is>
      </c>
      <c r="E33" s="14" t="inlineStr">
        <is>
          <t>Volumen (kg)</t>
        </is>
      </c>
      <c r="F33" s="14" t="inlineStr">
        <is>
          <t>% de las series</t>
        </is>
      </c>
    </row>
    <row r="34">
      <c r="B34" s="20">
        <f>Listas!B2</f>
        <v/>
      </c>
      <c r="C34" s="17">
        <f>SUMIF(Registro!$E$8:$E$127,B34,Registro!$F$8:$F$127)</f>
        <v/>
      </c>
      <c r="D34" s="18">
        <f>SUMIF(Registro!$E$8:$E$127,B34,Registro!$J$8:$J$127)</f>
        <v/>
      </c>
      <c r="E34" s="18">
        <f>SUMIF(Registro!$E$8:$E$127,B34,Registro!$K$8:$K$127)</f>
        <v/>
      </c>
      <c r="F34" s="19">
        <f>IF(SUM($C$34:$C$41)=0,0,C34/SUM($C$34:$C$41))</f>
        <v/>
      </c>
    </row>
    <row r="35">
      <c r="B35" s="20">
        <f>Listas!B3</f>
        <v/>
      </c>
      <c r="C35" s="17">
        <f>SUMIF(Registro!$E$8:$E$127,B35,Registro!$F$8:$F$127)</f>
        <v/>
      </c>
      <c r="D35" s="18">
        <f>SUMIF(Registro!$E$8:$E$127,B35,Registro!$J$8:$J$127)</f>
        <v/>
      </c>
      <c r="E35" s="18">
        <f>SUMIF(Registro!$E$8:$E$127,B35,Registro!$K$8:$K$127)</f>
        <v/>
      </c>
      <c r="F35" s="19">
        <f>IF(SUM($C$34:$C$41)=0,0,C35/SUM($C$34:$C$41))</f>
        <v/>
      </c>
    </row>
    <row r="36">
      <c r="B36" s="20">
        <f>Listas!B4</f>
        <v/>
      </c>
      <c r="C36" s="17">
        <f>SUMIF(Registro!$E$8:$E$127,B36,Registro!$F$8:$F$127)</f>
        <v/>
      </c>
      <c r="D36" s="18">
        <f>SUMIF(Registro!$E$8:$E$127,B36,Registro!$J$8:$J$127)</f>
        <v/>
      </c>
      <c r="E36" s="18">
        <f>SUMIF(Registro!$E$8:$E$127,B36,Registro!$K$8:$K$127)</f>
        <v/>
      </c>
      <c r="F36" s="19">
        <f>IF(SUM($C$34:$C$41)=0,0,C36/SUM($C$34:$C$41))</f>
        <v/>
      </c>
    </row>
    <row r="37">
      <c r="B37" s="20">
        <f>Listas!B5</f>
        <v/>
      </c>
      <c r="C37" s="17">
        <f>SUMIF(Registro!$E$8:$E$127,B37,Registro!$F$8:$F$127)</f>
        <v/>
      </c>
      <c r="D37" s="18">
        <f>SUMIF(Registro!$E$8:$E$127,B37,Registro!$J$8:$J$127)</f>
        <v/>
      </c>
      <c r="E37" s="18">
        <f>SUMIF(Registro!$E$8:$E$127,B37,Registro!$K$8:$K$127)</f>
        <v/>
      </c>
      <c r="F37" s="19">
        <f>IF(SUM($C$34:$C$41)=0,0,C37/SUM($C$34:$C$41))</f>
        <v/>
      </c>
    </row>
    <row r="38">
      <c r="B38" s="20">
        <f>Listas!B6</f>
        <v/>
      </c>
      <c r="C38" s="17">
        <f>SUMIF(Registro!$E$8:$E$127,B38,Registro!$F$8:$F$127)</f>
        <v/>
      </c>
      <c r="D38" s="18">
        <f>SUMIF(Registro!$E$8:$E$127,B38,Registro!$J$8:$J$127)</f>
        <v/>
      </c>
      <c r="E38" s="18">
        <f>SUMIF(Registro!$E$8:$E$127,B38,Registro!$K$8:$K$127)</f>
        <v/>
      </c>
      <c r="F38" s="19">
        <f>IF(SUM($C$34:$C$41)=0,0,C38/SUM($C$34:$C$41))</f>
        <v/>
      </c>
    </row>
    <row r="39">
      <c r="B39" s="20">
        <f>Listas!B7</f>
        <v/>
      </c>
      <c r="C39" s="17">
        <f>SUMIF(Registro!$E$8:$E$127,B39,Registro!$F$8:$F$127)</f>
        <v/>
      </c>
      <c r="D39" s="18">
        <f>SUMIF(Registro!$E$8:$E$127,B39,Registro!$J$8:$J$127)</f>
        <v/>
      </c>
      <c r="E39" s="18">
        <f>SUMIF(Registro!$E$8:$E$127,B39,Registro!$K$8:$K$127)</f>
        <v/>
      </c>
      <c r="F39" s="19">
        <f>IF(SUM($C$34:$C$41)=0,0,C39/SUM($C$34:$C$41))</f>
        <v/>
      </c>
    </row>
    <row r="40">
      <c r="B40" s="20">
        <f>Listas!B8</f>
        <v/>
      </c>
      <c r="C40" s="17">
        <f>SUMIF(Registro!$E$8:$E$127,B40,Registro!$F$8:$F$127)</f>
        <v/>
      </c>
      <c r="D40" s="18">
        <f>SUMIF(Registro!$E$8:$E$127,B40,Registro!$J$8:$J$127)</f>
        <v/>
      </c>
      <c r="E40" s="18">
        <f>SUMIF(Registro!$E$8:$E$127,B40,Registro!$K$8:$K$127)</f>
        <v/>
      </c>
      <c r="F40" s="19">
        <f>IF(SUM($C$34:$C$41)=0,0,C40/SUM($C$34:$C$41))</f>
        <v/>
      </c>
    </row>
    <row r="41">
      <c r="B41" s="20">
        <f>Listas!B9</f>
        <v/>
      </c>
      <c r="C41" s="17">
        <f>SUMIF(Registro!$E$8:$E$127,B41,Registro!$F$8:$F$127)</f>
        <v/>
      </c>
      <c r="D41" s="18">
        <f>SUMIF(Registro!$E$8:$E$127,B41,Registro!$J$8:$J$127)</f>
        <v/>
      </c>
      <c r="E41" s="18">
        <f>SUMIF(Registro!$E$8:$E$127,B41,Registro!$K$8:$K$127)</f>
        <v/>
      </c>
      <c r="F41" s="19">
        <f>IF(SUM($C$34:$C$41)=0,0,C41/SUM($C$34:$C$41))</f>
        <v/>
      </c>
    </row>
    <row r="42">
      <c r="B42" s="21" t="inlineStr">
        <is>
          <t>Total</t>
        </is>
      </c>
      <c r="C42" s="22">
        <f>SUM(C34:C41)</f>
        <v/>
      </c>
      <c r="D42" s="23">
        <f>SUM(D34:D41)</f>
        <v/>
      </c>
      <c r="E42" s="23">
        <f>SUM(E34:E41)</f>
        <v/>
      </c>
      <c r="F42" s="24">
        <f>SUM(F34:F41)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H13:H19">
    <cfRule type="dataBar" priority="1">
      <dataBar>
        <cfvo type="num" val="0"/>
        <cfvo type="max"/>
        <color rgb="0010B981"/>
      </dataBar>
    </cfRule>
  </conditionalFormatting>
  <conditionalFormatting sqref="I13:I19">
    <cfRule type="expression" priority="2" dxfId="0">
      <formula>AND(ISNUMBER(I13),I13&gt;=1)</formula>
    </cfRule>
    <cfRule type="expression" priority="3" dxfId="1">
      <formula>AND(ISNUMBER(I13),I13&lt;1)</formula>
    </cfRule>
  </conditionalFormatting>
  <conditionalFormatting sqref="F23:F29">
    <cfRule type="dataBar" priority="4">
      <dataBar>
        <cfvo type="num" val="0"/>
        <cfvo type="max"/>
        <color rgb="0010B981"/>
      </dataBar>
    </cfRule>
  </conditionalFormatting>
  <conditionalFormatting sqref="C34:C41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3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2" customWidth="1" min="3" max="3"/>
    <col width="16" customWidth="1" min="4" max="4"/>
    <col width="18" customWidth="1" min="5" max="5"/>
    <col width="9" customWidth="1" min="6" max="6"/>
    <col width="9" customWidth="1" min="7" max="7"/>
    <col width="11" customWidth="1" min="8" max="8"/>
    <col width="11" customWidth="1" min="9" max="9"/>
    <col width="11" customWidth="1" min="10" max="10"/>
    <col width="12" customWidth="1" min="11" max="11"/>
    <col width="12" customWidth="1" min="12" max="12"/>
    <col width="11" customWidth="1" min="13" max="13"/>
  </cols>
  <sheetData>
    <row r="2" ht="34" customHeight="1">
      <c r="B2" s="1" t="inlineStr">
        <is>
          <t>Mi rutina de entrenamiento en casa</t>
        </is>
      </c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</row>
    <row r="3">
      <c r="B3" s="2" t="inlineStr">
        <is>
          <t>Define el plan semanal: día, ejercicio, series, repeticiones, descanso y peso objetivo. Solo organización personal, sin pautas de entrenamiento.</t>
        </is>
      </c>
    </row>
    <row r="5">
      <c r="B5" s="21" t="inlineStr">
        <is>
          <t>Segundos por repetición</t>
        </is>
      </c>
      <c r="D5" s="25" t="n">
        <v>3</v>
      </c>
      <c r="E5" s="21" t="inlineStr">
        <is>
          <t>Umbral «cumplido»</t>
        </is>
      </c>
      <c r="H5" s="26" t="n">
        <v>0.95</v>
      </c>
      <c r="I5" s="21" t="inlineStr">
        <is>
          <t>Sesiones objetivo/sem.</t>
        </is>
      </c>
      <c r="L5" s="27" t="n">
        <v>3</v>
      </c>
      <c r="M5" s="5" t="inlineStr">
        <is>
          <t>← editables</t>
        </is>
      </c>
    </row>
    <row r="7" ht="34" customHeight="1">
      <c r="B7" s="14" t="inlineStr">
        <is>
          <t>Día</t>
        </is>
      </c>
      <c r="C7" s="14" t="inlineStr">
        <is>
          <t>Ejercicio</t>
        </is>
      </c>
      <c r="D7" s="14" t="inlineStr">
        <is>
          <t>Grupo muscular</t>
        </is>
      </c>
      <c r="E7" s="14" t="inlineStr">
        <is>
          <t>Material</t>
        </is>
      </c>
      <c r="F7" s="14" t="inlineStr">
        <is>
          <t>Series</t>
        </is>
      </c>
      <c r="G7" s="14" t="inlineStr">
        <is>
          <t>Reps</t>
        </is>
      </c>
      <c r="H7" s="14" t="inlineStr">
        <is>
          <t>Descanso (s)</t>
        </is>
      </c>
      <c r="I7" s="14" t="inlineStr">
        <is>
          <t>Peso obj. (kg)</t>
        </is>
      </c>
      <c r="J7" s="14" t="inlineStr">
        <is>
          <t>Reps totales obj.</t>
        </is>
      </c>
      <c r="K7" s="14" t="inlineStr">
        <is>
          <t>Volumen obj. (kg)</t>
        </is>
      </c>
      <c r="L7" s="14" t="inlineStr">
        <is>
          <t>Tiempo est. (min)</t>
        </is>
      </c>
      <c r="M7" s="14" t="inlineStr">
        <is>
          <t>Veces hecho</t>
        </is>
      </c>
    </row>
    <row r="8">
      <c r="B8" s="28" t="inlineStr">
        <is>
          <t>Lunes</t>
        </is>
      </c>
      <c r="C8" s="29" t="inlineStr">
        <is>
          <t>Flexiones</t>
        </is>
      </c>
      <c r="D8" s="28" t="inlineStr">
        <is>
          <t>Pecho</t>
        </is>
      </c>
      <c r="E8" s="28" t="inlineStr">
        <is>
          <t>Peso corporal</t>
        </is>
      </c>
      <c r="F8" s="27" t="n">
        <v>3</v>
      </c>
      <c r="G8" s="27" t="n">
        <v>12</v>
      </c>
      <c r="H8" s="27" t="n">
        <v>60</v>
      </c>
      <c r="I8" s="30" t="n">
        <v>0</v>
      </c>
      <c r="J8" s="18">
        <f>IF(OR(F8="",G8=""),"",F8*G8)</f>
        <v/>
      </c>
      <c r="K8" s="18">
        <f>IF(J8="","",J8*N(I8))</f>
        <v/>
      </c>
      <c r="L8" s="31">
        <f>IF(J8="","",ROUND(F8*(G8*$D$5+N(H8))/60,1))</f>
        <v/>
      </c>
      <c r="M8" s="17">
        <f>IF(C8="","",COUNTIF(Registro!$D$8:$D$127,C8))</f>
        <v/>
      </c>
    </row>
    <row r="9">
      <c r="B9" s="28" t="inlineStr">
        <is>
          <t>Lunes</t>
        </is>
      </c>
      <c r="C9" s="29" t="inlineStr">
        <is>
          <t>Remo a una mano</t>
        </is>
      </c>
      <c r="D9" s="28" t="inlineStr">
        <is>
          <t>Espalda</t>
        </is>
      </c>
      <c r="E9" s="28" t="inlineStr">
        <is>
          <t>Mancuernas</t>
        </is>
      </c>
      <c r="F9" s="27" t="n">
        <v>3</v>
      </c>
      <c r="G9" s="27" t="n">
        <v>10</v>
      </c>
      <c r="H9" s="27" t="n">
        <v>75</v>
      </c>
      <c r="I9" s="30" t="n">
        <v>12</v>
      </c>
      <c r="J9" s="18">
        <f>IF(OR(F9="",G9=""),"",F9*G9)</f>
        <v/>
      </c>
      <c r="K9" s="18">
        <f>IF(J9="","",J9*N(I9))</f>
        <v/>
      </c>
      <c r="L9" s="31">
        <f>IF(J9="","",ROUND(F9*(G9*$D$5+N(H9))/60,1))</f>
        <v/>
      </c>
      <c r="M9" s="17">
        <f>IF(C9="","",COUNTIF(Registro!$D$8:$D$127,C9))</f>
        <v/>
      </c>
    </row>
    <row r="10">
      <c r="B10" s="28" t="inlineStr">
        <is>
          <t>Lunes</t>
        </is>
      </c>
      <c r="C10" s="29" t="inlineStr">
        <is>
          <t>Press de hombro</t>
        </is>
      </c>
      <c r="D10" s="28" t="inlineStr">
        <is>
          <t>Hombros</t>
        </is>
      </c>
      <c r="E10" s="28" t="inlineStr">
        <is>
          <t>Mancuernas</t>
        </is>
      </c>
      <c r="F10" s="27" t="n">
        <v>3</v>
      </c>
      <c r="G10" s="27" t="n">
        <v>10</v>
      </c>
      <c r="H10" s="27" t="n">
        <v>75</v>
      </c>
      <c r="I10" s="30" t="n">
        <v>8</v>
      </c>
      <c r="J10" s="18">
        <f>IF(OR(F10="",G10=""),"",F10*G10)</f>
        <v/>
      </c>
      <c r="K10" s="18">
        <f>IF(J10="","",J10*N(I10))</f>
        <v/>
      </c>
      <c r="L10" s="31">
        <f>IF(J10="","",ROUND(F10*(G10*$D$5+N(H10))/60,1))</f>
        <v/>
      </c>
      <c r="M10" s="17">
        <f>IF(C10="","",COUNTIF(Registro!$D$8:$D$127,C10))</f>
        <v/>
      </c>
    </row>
    <row r="11">
      <c r="B11" s="28" t="inlineStr">
        <is>
          <t>Miércoles</t>
        </is>
      </c>
      <c r="C11" s="29" t="inlineStr">
        <is>
          <t>Sentadilla goblet</t>
        </is>
      </c>
      <c r="D11" s="28" t="inlineStr">
        <is>
          <t>Piernas</t>
        </is>
      </c>
      <c r="E11" s="28" t="inlineStr">
        <is>
          <t>Mancuernas</t>
        </is>
      </c>
      <c r="F11" s="27" t="n">
        <v>4</v>
      </c>
      <c r="G11" s="27" t="n">
        <v>12</v>
      </c>
      <c r="H11" s="27" t="n">
        <v>75</v>
      </c>
      <c r="I11" s="30" t="n">
        <v>16</v>
      </c>
      <c r="J11" s="18">
        <f>IF(OR(F11="",G11=""),"",F11*G11)</f>
        <v/>
      </c>
      <c r="K11" s="18">
        <f>IF(J11="","",J11*N(I11))</f>
        <v/>
      </c>
      <c r="L11" s="31">
        <f>IF(J11="","",ROUND(F11*(G11*$D$5+N(H11))/60,1))</f>
        <v/>
      </c>
      <c r="M11" s="17">
        <f>IF(C11="","",COUNTIF(Registro!$D$8:$D$127,C11))</f>
        <v/>
      </c>
    </row>
    <row r="12">
      <c r="B12" s="28" t="inlineStr">
        <is>
          <t>Miércoles</t>
        </is>
      </c>
      <c r="C12" s="29" t="inlineStr">
        <is>
          <t>Zancadas</t>
        </is>
      </c>
      <c r="D12" s="28" t="inlineStr">
        <is>
          <t>Piernas</t>
        </is>
      </c>
      <c r="E12" s="28" t="inlineStr">
        <is>
          <t>Mancuernas</t>
        </is>
      </c>
      <c r="F12" s="27" t="n">
        <v>3</v>
      </c>
      <c r="G12" s="27" t="n">
        <v>10</v>
      </c>
      <c r="H12" s="27" t="n">
        <v>60</v>
      </c>
      <c r="I12" s="30" t="n">
        <v>8</v>
      </c>
      <c r="J12" s="18">
        <f>IF(OR(F12="",G12=""),"",F12*G12)</f>
        <v/>
      </c>
      <c r="K12" s="18">
        <f>IF(J12="","",J12*N(I12))</f>
        <v/>
      </c>
      <c r="L12" s="31">
        <f>IF(J12="","",ROUND(F12*(G12*$D$5+N(H12))/60,1))</f>
        <v/>
      </c>
      <c r="M12" s="17">
        <f>IF(C12="","",COUNTIF(Registro!$D$8:$D$127,C12))</f>
        <v/>
      </c>
    </row>
    <row r="13">
      <c r="B13" s="28" t="inlineStr">
        <is>
          <t>Miércoles</t>
        </is>
      </c>
      <c r="C13" s="29" t="inlineStr">
        <is>
          <t>Puente de glúteos</t>
        </is>
      </c>
      <c r="D13" s="28" t="inlineStr">
        <is>
          <t>Glúteos</t>
        </is>
      </c>
      <c r="E13" s="28" t="inlineStr">
        <is>
          <t>Mochila con peso</t>
        </is>
      </c>
      <c r="F13" s="27" t="n">
        <v>3</v>
      </c>
      <c r="G13" s="27" t="n">
        <v>15</v>
      </c>
      <c r="H13" s="27" t="n">
        <v>60</v>
      </c>
      <c r="I13" s="30" t="n">
        <v>20</v>
      </c>
      <c r="J13" s="18">
        <f>IF(OR(F13="",G13=""),"",F13*G13)</f>
        <v/>
      </c>
      <c r="K13" s="18">
        <f>IF(J13="","",J13*N(I13))</f>
        <v/>
      </c>
      <c r="L13" s="31">
        <f>IF(J13="","",ROUND(F13*(G13*$D$5+N(H13))/60,1))</f>
        <v/>
      </c>
      <c r="M13" s="17">
        <f>IF(C13="","",COUNTIF(Registro!$D$8:$D$127,C13))</f>
        <v/>
      </c>
    </row>
    <row r="14">
      <c r="B14" s="28" t="inlineStr">
        <is>
          <t>Viernes</t>
        </is>
      </c>
      <c r="C14" s="29" t="inlineStr">
        <is>
          <t>Fondos en silla</t>
        </is>
      </c>
      <c r="D14" s="28" t="inlineStr">
        <is>
          <t>Brazos</t>
        </is>
      </c>
      <c r="E14" s="28" t="inlineStr">
        <is>
          <t>Silla</t>
        </is>
      </c>
      <c r="F14" s="27" t="n">
        <v>3</v>
      </c>
      <c r="G14" s="27" t="n">
        <v>10</v>
      </c>
      <c r="H14" s="27" t="n">
        <v>60</v>
      </c>
      <c r="I14" s="30" t="n">
        <v>0</v>
      </c>
      <c r="J14" s="18">
        <f>IF(OR(F14="",G14=""),"",F14*G14)</f>
        <v/>
      </c>
      <c r="K14" s="18">
        <f>IF(J14="","",J14*N(I14))</f>
        <v/>
      </c>
      <c r="L14" s="31">
        <f>IF(J14="","",ROUND(F14*(G14*$D$5+N(H14))/60,1))</f>
        <v/>
      </c>
      <c r="M14" s="17">
        <f>IF(C14="","",COUNTIF(Registro!$D$8:$D$127,C14))</f>
        <v/>
      </c>
    </row>
    <row r="15">
      <c r="B15" s="28" t="inlineStr">
        <is>
          <t>Viernes</t>
        </is>
      </c>
      <c r="C15" s="29" t="inlineStr">
        <is>
          <t>Peso muerto rumano</t>
        </is>
      </c>
      <c r="D15" s="28" t="inlineStr">
        <is>
          <t>Piernas</t>
        </is>
      </c>
      <c r="E15" s="28" t="inlineStr">
        <is>
          <t>Mancuernas</t>
        </is>
      </c>
      <c r="F15" s="27" t="n">
        <v>3</v>
      </c>
      <c r="G15" s="27" t="n">
        <v>10</v>
      </c>
      <c r="H15" s="27" t="n">
        <v>90</v>
      </c>
      <c r="I15" s="30" t="n">
        <v>14</v>
      </c>
      <c r="J15" s="18">
        <f>IF(OR(F15="",G15=""),"",F15*G15)</f>
        <v/>
      </c>
      <c r="K15" s="18">
        <f>IF(J15="","",J15*N(I15))</f>
        <v/>
      </c>
      <c r="L15" s="31">
        <f>IF(J15="","",ROUND(F15*(G15*$D$5+N(H15))/60,1))</f>
        <v/>
      </c>
      <c r="M15" s="17">
        <f>IF(C15="","",COUNTIF(Registro!$D$8:$D$127,C15))</f>
        <v/>
      </c>
    </row>
    <row r="16">
      <c r="B16" s="28" t="inlineStr">
        <is>
          <t>Viernes</t>
        </is>
      </c>
      <c r="C16" s="29" t="inlineStr">
        <is>
          <t>Crunch abdominal</t>
        </is>
      </c>
      <c r="D16" s="28" t="inlineStr">
        <is>
          <t>Core</t>
        </is>
      </c>
      <c r="E16" s="28" t="inlineStr">
        <is>
          <t>Esterilla</t>
        </is>
      </c>
      <c r="F16" s="27" t="n">
        <v>3</v>
      </c>
      <c r="G16" s="27" t="n">
        <v>20</v>
      </c>
      <c r="H16" s="27" t="n">
        <v>45</v>
      </c>
      <c r="I16" s="30" t="n">
        <v>0</v>
      </c>
      <c r="J16" s="18">
        <f>IF(OR(F16="",G16=""),"",F16*G16)</f>
        <v/>
      </c>
      <c r="K16" s="18">
        <f>IF(J16="","",J16*N(I16))</f>
        <v/>
      </c>
      <c r="L16" s="31">
        <f>IF(J16="","",ROUND(F16*(G16*$D$5+N(H16))/60,1))</f>
        <v/>
      </c>
      <c r="M16" s="17">
        <f>IF(C16="","",COUNTIF(Registro!$D$8:$D$127,C16))</f>
        <v/>
      </c>
    </row>
    <row r="17">
      <c r="B17" s="28" t="n"/>
      <c r="C17" s="29" t="n"/>
      <c r="D17" s="28" t="n"/>
      <c r="E17" s="28" t="n"/>
      <c r="F17" s="27" t="n"/>
      <c r="G17" s="27" t="n"/>
      <c r="H17" s="27" t="n"/>
      <c r="I17" s="30" t="n"/>
      <c r="J17" s="18">
        <f>IF(OR(F17="",G17=""),"",F17*G17)</f>
        <v/>
      </c>
      <c r="K17" s="18">
        <f>IF(J17="","",J17*N(I17))</f>
        <v/>
      </c>
      <c r="L17" s="31">
        <f>IF(J17="","",ROUND(F17*(G17*$D$5+N(H17))/60,1))</f>
        <v/>
      </c>
      <c r="M17" s="17">
        <f>IF(C17="","",COUNTIF(Registro!$D$8:$D$127,C17))</f>
        <v/>
      </c>
    </row>
    <row r="18">
      <c r="B18" s="28" t="n"/>
      <c r="C18" s="29" t="n"/>
      <c r="D18" s="28" t="n"/>
      <c r="E18" s="28" t="n"/>
      <c r="F18" s="27" t="n"/>
      <c r="G18" s="27" t="n"/>
      <c r="H18" s="27" t="n"/>
      <c r="I18" s="30" t="n"/>
      <c r="J18" s="18">
        <f>IF(OR(F18="",G18=""),"",F18*G18)</f>
        <v/>
      </c>
      <c r="K18" s="18">
        <f>IF(J18="","",J18*N(I18))</f>
        <v/>
      </c>
      <c r="L18" s="31">
        <f>IF(J18="","",ROUND(F18*(G18*$D$5+N(H18))/60,1))</f>
        <v/>
      </c>
      <c r="M18" s="17">
        <f>IF(C18="","",COUNTIF(Registro!$D$8:$D$127,C18))</f>
        <v/>
      </c>
    </row>
    <row r="19">
      <c r="B19" s="28" t="n"/>
      <c r="C19" s="29" t="n"/>
      <c r="D19" s="28" t="n"/>
      <c r="E19" s="28" t="n"/>
      <c r="F19" s="27" t="n"/>
      <c r="G19" s="27" t="n"/>
      <c r="H19" s="27" t="n"/>
      <c r="I19" s="30" t="n"/>
      <c r="J19" s="18">
        <f>IF(OR(F19="",G19=""),"",F19*G19)</f>
        <v/>
      </c>
      <c r="K19" s="18">
        <f>IF(J19="","",J19*N(I19))</f>
        <v/>
      </c>
      <c r="L19" s="31">
        <f>IF(J19="","",ROUND(F19*(G19*$D$5+N(H19))/60,1))</f>
        <v/>
      </c>
      <c r="M19" s="17">
        <f>IF(C19="","",COUNTIF(Registro!$D$8:$D$127,C19))</f>
        <v/>
      </c>
    </row>
    <row r="20">
      <c r="B20" s="28" t="n"/>
      <c r="C20" s="29" t="n"/>
      <c r="D20" s="28" t="n"/>
      <c r="E20" s="28" t="n"/>
      <c r="F20" s="27" t="n"/>
      <c r="G20" s="27" t="n"/>
      <c r="H20" s="27" t="n"/>
      <c r="I20" s="30" t="n"/>
      <c r="J20" s="18">
        <f>IF(OR(F20="",G20=""),"",F20*G20)</f>
        <v/>
      </c>
      <c r="K20" s="18">
        <f>IF(J20="","",J20*N(I20))</f>
        <v/>
      </c>
      <c r="L20" s="31">
        <f>IF(J20="","",ROUND(F20*(G20*$D$5+N(H20))/60,1))</f>
        <v/>
      </c>
      <c r="M20" s="17">
        <f>IF(C20="","",COUNTIF(Registro!$D$8:$D$127,C20))</f>
        <v/>
      </c>
    </row>
    <row r="21">
      <c r="B21" s="28" t="n"/>
      <c r="C21" s="29" t="n"/>
      <c r="D21" s="28" t="n"/>
      <c r="E21" s="28" t="n"/>
      <c r="F21" s="27" t="n"/>
      <c r="G21" s="27" t="n"/>
      <c r="H21" s="27" t="n"/>
      <c r="I21" s="30" t="n"/>
      <c r="J21" s="18">
        <f>IF(OR(F21="",G21=""),"",F21*G21)</f>
        <v/>
      </c>
      <c r="K21" s="18">
        <f>IF(J21="","",J21*N(I21))</f>
        <v/>
      </c>
      <c r="L21" s="31">
        <f>IF(J21="","",ROUND(F21*(G21*$D$5+N(H21))/60,1))</f>
        <v/>
      </c>
      <c r="M21" s="17">
        <f>IF(C21="","",COUNTIF(Registro!$D$8:$D$127,C21))</f>
        <v/>
      </c>
    </row>
    <row r="22">
      <c r="B22" s="28" t="n"/>
      <c r="C22" s="29" t="n"/>
      <c r="D22" s="28" t="n"/>
      <c r="E22" s="28" t="n"/>
      <c r="F22" s="27" t="n"/>
      <c r="G22" s="27" t="n"/>
      <c r="H22" s="27" t="n"/>
      <c r="I22" s="30" t="n"/>
      <c r="J22" s="18">
        <f>IF(OR(F22="",G22=""),"",F22*G22)</f>
        <v/>
      </c>
      <c r="K22" s="18">
        <f>IF(J22="","",J22*N(I22))</f>
        <v/>
      </c>
      <c r="L22" s="31">
        <f>IF(J22="","",ROUND(F22*(G22*$D$5+N(H22))/60,1))</f>
        <v/>
      </c>
      <c r="M22" s="17">
        <f>IF(C22="","",COUNTIF(Registro!$D$8:$D$127,C22))</f>
        <v/>
      </c>
    </row>
    <row r="23">
      <c r="B23" s="28" t="n"/>
      <c r="C23" s="29" t="n"/>
      <c r="D23" s="28" t="n"/>
      <c r="E23" s="28" t="n"/>
      <c r="F23" s="27" t="n"/>
      <c r="G23" s="27" t="n"/>
      <c r="H23" s="27" t="n"/>
      <c r="I23" s="30" t="n"/>
      <c r="J23" s="18">
        <f>IF(OR(F23="",G23=""),"",F23*G23)</f>
        <v/>
      </c>
      <c r="K23" s="18">
        <f>IF(J23="","",J23*N(I23))</f>
        <v/>
      </c>
      <c r="L23" s="31">
        <f>IF(J23="","",ROUND(F23*(G23*$D$5+N(H23))/60,1))</f>
        <v/>
      </c>
      <c r="M23" s="17">
        <f>IF(C23="","",COUNTIF(Registro!$D$8:$D$127,C23))</f>
        <v/>
      </c>
    </row>
    <row r="24">
      <c r="B24" s="28" t="n"/>
      <c r="C24" s="29" t="n"/>
      <c r="D24" s="28" t="n"/>
      <c r="E24" s="28" t="n"/>
      <c r="F24" s="27" t="n"/>
      <c r="G24" s="27" t="n"/>
      <c r="H24" s="27" t="n"/>
      <c r="I24" s="30" t="n"/>
      <c r="J24" s="18">
        <f>IF(OR(F24="",G24=""),"",F24*G24)</f>
        <v/>
      </c>
      <c r="K24" s="18">
        <f>IF(J24="","",J24*N(I24))</f>
        <v/>
      </c>
      <c r="L24" s="31">
        <f>IF(J24="","",ROUND(F24*(G24*$D$5+N(H24))/60,1))</f>
        <v/>
      </c>
      <c r="M24" s="17">
        <f>IF(C24="","",COUNTIF(Registro!$D$8:$D$127,C24))</f>
        <v/>
      </c>
    </row>
    <row r="25">
      <c r="B25" s="28" t="n"/>
      <c r="C25" s="29" t="n"/>
      <c r="D25" s="28" t="n"/>
      <c r="E25" s="28" t="n"/>
      <c r="F25" s="27" t="n"/>
      <c r="G25" s="27" t="n"/>
      <c r="H25" s="27" t="n"/>
      <c r="I25" s="30" t="n"/>
      <c r="J25" s="18">
        <f>IF(OR(F25="",G25=""),"",F25*G25)</f>
        <v/>
      </c>
      <c r="K25" s="18">
        <f>IF(J25="","",J25*N(I25))</f>
        <v/>
      </c>
      <c r="L25" s="31">
        <f>IF(J25="","",ROUND(F25*(G25*$D$5+N(H25))/60,1))</f>
        <v/>
      </c>
      <c r="M25" s="17">
        <f>IF(C25="","",COUNTIF(Registro!$D$8:$D$127,C25))</f>
        <v/>
      </c>
    </row>
    <row r="26">
      <c r="B26" s="28" t="n"/>
      <c r="C26" s="29" t="n"/>
      <c r="D26" s="28" t="n"/>
      <c r="E26" s="28" t="n"/>
      <c r="F26" s="27" t="n"/>
      <c r="G26" s="27" t="n"/>
      <c r="H26" s="27" t="n"/>
      <c r="I26" s="30" t="n"/>
      <c r="J26" s="18">
        <f>IF(OR(F26="",G26=""),"",F26*G26)</f>
        <v/>
      </c>
      <c r="K26" s="18">
        <f>IF(J26="","",J26*N(I26))</f>
        <v/>
      </c>
      <c r="L26" s="31">
        <f>IF(J26="","",ROUND(F26*(G26*$D$5+N(H26))/60,1))</f>
        <v/>
      </c>
      <c r="M26" s="17">
        <f>IF(C26="","",COUNTIF(Registro!$D$8:$D$127,C26))</f>
        <v/>
      </c>
    </row>
    <row r="27">
      <c r="B27" s="28" t="n"/>
      <c r="C27" s="29" t="n"/>
      <c r="D27" s="28" t="n"/>
      <c r="E27" s="28" t="n"/>
      <c r="F27" s="27" t="n"/>
      <c r="G27" s="27" t="n"/>
      <c r="H27" s="27" t="n"/>
      <c r="I27" s="30" t="n"/>
      <c r="J27" s="18">
        <f>IF(OR(F27="",G27=""),"",F27*G27)</f>
        <v/>
      </c>
      <c r="K27" s="18">
        <f>IF(J27="","",J27*N(I27))</f>
        <v/>
      </c>
      <c r="L27" s="31">
        <f>IF(J27="","",ROUND(F27*(G27*$D$5+N(H27))/60,1))</f>
        <v/>
      </c>
      <c r="M27" s="17">
        <f>IF(C27="","",COUNTIF(Registro!$D$8:$D$127,C27))</f>
        <v/>
      </c>
    </row>
    <row r="28">
      <c r="B28" s="28" t="n"/>
      <c r="C28" s="29" t="n"/>
      <c r="D28" s="28" t="n"/>
      <c r="E28" s="28" t="n"/>
      <c r="F28" s="27" t="n"/>
      <c r="G28" s="27" t="n"/>
      <c r="H28" s="27" t="n"/>
      <c r="I28" s="30" t="n"/>
      <c r="J28" s="18">
        <f>IF(OR(F28="",G28=""),"",F28*G28)</f>
        <v/>
      </c>
      <c r="K28" s="18">
        <f>IF(J28="","",J28*N(I28))</f>
        <v/>
      </c>
      <c r="L28" s="31">
        <f>IF(J28="","",ROUND(F28*(G28*$D$5+N(H28))/60,1))</f>
        <v/>
      </c>
      <c r="M28" s="17">
        <f>IF(C28="","",COUNTIF(Registro!$D$8:$D$127,C28))</f>
        <v/>
      </c>
    </row>
    <row r="29">
      <c r="B29" s="28" t="n"/>
      <c r="C29" s="29" t="n"/>
      <c r="D29" s="28" t="n"/>
      <c r="E29" s="28" t="n"/>
      <c r="F29" s="27" t="n"/>
      <c r="G29" s="27" t="n"/>
      <c r="H29" s="27" t="n"/>
      <c r="I29" s="30" t="n"/>
      <c r="J29" s="18">
        <f>IF(OR(F29="",G29=""),"",F29*G29)</f>
        <v/>
      </c>
      <c r="K29" s="18">
        <f>IF(J29="","",J29*N(I29))</f>
        <v/>
      </c>
      <c r="L29" s="31">
        <f>IF(J29="","",ROUND(F29*(G29*$D$5+N(H29))/60,1))</f>
        <v/>
      </c>
      <c r="M29" s="17">
        <f>IF(C29="","",COUNTIF(Registro!$D$8:$D$127,C29))</f>
        <v/>
      </c>
    </row>
    <row r="30">
      <c r="B30" s="28" t="n"/>
      <c r="C30" s="29" t="n"/>
      <c r="D30" s="28" t="n"/>
      <c r="E30" s="28" t="n"/>
      <c r="F30" s="27" t="n"/>
      <c r="G30" s="27" t="n"/>
      <c r="H30" s="27" t="n"/>
      <c r="I30" s="30" t="n"/>
      <c r="J30" s="18">
        <f>IF(OR(F30="",G30=""),"",F30*G30)</f>
        <v/>
      </c>
      <c r="K30" s="18">
        <f>IF(J30="","",J30*N(I30))</f>
        <v/>
      </c>
      <c r="L30" s="31">
        <f>IF(J30="","",ROUND(F30*(G30*$D$5+N(H30))/60,1))</f>
        <v/>
      </c>
      <c r="M30" s="17">
        <f>IF(C30="","",COUNTIF(Registro!$D$8:$D$127,C30))</f>
        <v/>
      </c>
    </row>
    <row r="31">
      <c r="B31" s="28" t="n"/>
      <c r="C31" s="29" t="n"/>
      <c r="D31" s="28" t="n"/>
      <c r="E31" s="28" t="n"/>
      <c r="F31" s="27" t="n"/>
      <c r="G31" s="27" t="n"/>
      <c r="H31" s="27" t="n"/>
      <c r="I31" s="30" t="n"/>
      <c r="J31" s="18">
        <f>IF(OR(F31="",G31=""),"",F31*G31)</f>
        <v/>
      </c>
      <c r="K31" s="18">
        <f>IF(J31="","",J31*N(I31))</f>
        <v/>
      </c>
      <c r="L31" s="31">
        <f>IF(J31="","",ROUND(F31*(G31*$D$5+N(H31))/60,1))</f>
        <v/>
      </c>
      <c r="M31" s="17">
        <f>IF(C31="","",COUNTIF(Registro!$D$8:$D$127,C31))</f>
        <v/>
      </c>
    </row>
    <row r="32">
      <c r="B32" s="28" t="n"/>
      <c r="C32" s="29" t="n"/>
      <c r="D32" s="28" t="n"/>
      <c r="E32" s="28" t="n"/>
      <c r="F32" s="27" t="n"/>
      <c r="G32" s="27" t="n"/>
      <c r="H32" s="27" t="n"/>
      <c r="I32" s="30" t="n"/>
      <c r="J32" s="18">
        <f>IF(OR(F32="",G32=""),"",F32*G32)</f>
        <v/>
      </c>
      <c r="K32" s="18">
        <f>IF(J32="","",J32*N(I32))</f>
        <v/>
      </c>
      <c r="L32" s="31">
        <f>IF(J32="","",ROUND(F32*(G32*$D$5+N(H32))/60,1))</f>
        <v/>
      </c>
      <c r="M32" s="17">
        <f>IF(C32="","",COUNTIF(Registro!$D$8:$D$127,C32))</f>
        <v/>
      </c>
    </row>
    <row r="33">
      <c r="B33" s="28" t="n"/>
      <c r="C33" s="29" t="n"/>
      <c r="D33" s="28" t="n"/>
      <c r="E33" s="28" t="n"/>
      <c r="F33" s="27" t="n"/>
      <c r="G33" s="27" t="n"/>
      <c r="H33" s="27" t="n"/>
      <c r="I33" s="30" t="n"/>
      <c r="J33" s="18">
        <f>IF(OR(F33="",G33=""),"",F33*G33)</f>
        <v/>
      </c>
      <c r="K33" s="18">
        <f>IF(J33="","",J33*N(I33))</f>
        <v/>
      </c>
      <c r="L33" s="31">
        <f>IF(J33="","",ROUND(F33*(G33*$D$5+N(H33))/60,1))</f>
        <v/>
      </c>
      <c r="M33" s="17">
        <f>IF(C33="","",COUNTIF(Registro!$D$8:$D$127,C33))</f>
        <v/>
      </c>
    </row>
    <row r="34">
      <c r="B34" s="28" t="n"/>
      <c r="C34" s="29" t="n"/>
      <c r="D34" s="28" t="n"/>
      <c r="E34" s="28" t="n"/>
      <c r="F34" s="27" t="n"/>
      <c r="G34" s="27" t="n"/>
      <c r="H34" s="27" t="n"/>
      <c r="I34" s="30" t="n"/>
      <c r="J34" s="18">
        <f>IF(OR(F34="",G34=""),"",F34*G34)</f>
        <v/>
      </c>
      <c r="K34" s="18">
        <f>IF(J34="","",J34*N(I34))</f>
        <v/>
      </c>
      <c r="L34" s="31">
        <f>IF(J34="","",ROUND(F34*(G34*$D$5+N(H34))/60,1))</f>
        <v/>
      </c>
      <c r="M34" s="17">
        <f>IF(C34="","",COUNTIF(Registro!$D$8:$D$127,C34))</f>
        <v/>
      </c>
    </row>
    <row r="35">
      <c r="B35" s="28" t="n"/>
      <c r="C35" s="29" t="n"/>
      <c r="D35" s="28" t="n"/>
      <c r="E35" s="28" t="n"/>
      <c r="F35" s="27" t="n"/>
      <c r="G35" s="27" t="n"/>
      <c r="H35" s="27" t="n"/>
      <c r="I35" s="30" t="n"/>
      <c r="J35" s="18">
        <f>IF(OR(F35="",G35=""),"",F35*G35)</f>
        <v/>
      </c>
      <c r="K35" s="18">
        <f>IF(J35="","",J35*N(I35))</f>
        <v/>
      </c>
      <c r="L35" s="31">
        <f>IF(J35="","",ROUND(F35*(G35*$D$5+N(H35))/60,1))</f>
        <v/>
      </c>
      <c r="M35" s="17">
        <f>IF(C35="","",COUNTIF(Registro!$D$8:$D$127,C35))</f>
        <v/>
      </c>
    </row>
    <row r="36">
      <c r="B36" s="28" t="n"/>
      <c r="C36" s="29" t="n"/>
      <c r="D36" s="28" t="n"/>
      <c r="E36" s="28" t="n"/>
      <c r="F36" s="27" t="n"/>
      <c r="G36" s="27" t="n"/>
      <c r="H36" s="27" t="n"/>
      <c r="I36" s="30" t="n"/>
      <c r="J36" s="18">
        <f>IF(OR(F36="",G36=""),"",F36*G36)</f>
        <v/>
      </c>
      <c r="K36" s="18">
        <f>IF(J36="","",J36*N(I36))</f>
        <v/>
      </c>
      <c r="L36" s="31">
        <f>IF(J36="","",ROUND(F36*(G36*$D$5+N(H36))/60,1))</f>
        <v/>
      </c>
      <c r="M36" s="17">
        <f>IF(C36="","",COUNTIF(Registro!$D$8:$D$127,C36))</f>
        <v/>
      </c>
    </row>
    <row r="37">
      <c r="B37" s="28" t="n"/>
      <c r="C37" s="29" t="n"/>
      <c r="D37" s="28" t="n"/>
      <c r="E37" s="28" t="n"/>
      <c r="F37" s="27" t="n"/>
      <c r="G37" s="27" t="n"/>
      <c r="H37" s="27" t="n"/>
      <c r="I37" s="30" t="n"/>
      <c r="J37" s="18">
        <f>IF(OR(F37="",G37=""),"",F37*G37)</f>
        <v/>
      </c>
      <c r="K37" s="18">
        <f>IF(J37="","",J37*N(I37))</f>
        <v/>
      </c>
      <c r="L37" s="31">
        <f>IF(J37="","",ROUND(F37*(G37*$D$5+N(H37))/60,1))</f>
        <v/>
      </c>
      <c r="M37" s="17">
        <f>IF(C37="","",COUNTIF(Registro!$D$8:$D$127,C37))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2:M2"/>
    <mergeCell ref="B3:M3"/>
    <mergeCell ref="E5:G5"/>
    <mergeCell ref="B5:C5"/>
    <mergeCell ref="I5:K5"/>
  </mergeCells>
  <conditionalFormatting sqref="J8:M37">
    <cfRule type="expression" priority="1" dxfId="2">
      <formula>MOD(ROW(),2)=0</formula>
    </cfRule>
  </conditionalFormatting>
  <conditionalFormatting sqref="L8:L37">
    <cfRule type="dataBar" priority="2">
      <dataBar>
        <cfvo type="num" val="0"/>
        <cfvo type="max"/>
        <color rgb="0010B981"/>
      </dataBar>
    </cfRule>
  </conditionalFormatting>
  <conditionalFormatting sqref="M8:M37">
    <cfRule type="expression" priority="3" dxfId="1">
      <formula>AND(ISNUMBER(M8),M8=0)</formula>
    </cfRule>
  </conditionalFormatting>
  <dataValidations count="8">
    <dataValidation sqref="B8:B37" showDropDown="0" showInputMessage="0" showErrorMessage="0" allowBlank="1" type="list">
      <formula1>=Listas!$A$2:$A$8</formula1>
    </dataValidation>
    <dataValidation sqref="D8:D37" showDropDown="0" showInputMessage="0" showErrorMessage="0" allowBlank="1" type="list">
      <formula1>=Listas!$B$2:$B$9</formula1>
    </dataValidation>
    <dataValidation sqref="E8:E37" showDropDown="0" showInputMessage="0" showErrorMessage="0" allowBlank="1" type="list">
      <formula1>=Listas!$C$2:$C$7</formula1>
    </dataValidation>
    <dataValidation sqref="F8:G37" showDropDown="0" showInputMessage="0" showErrorMessage="1" allowBlank="1" errorTitle="Valor no válido" error="Escribe un número entero de 1 a 30." type="whole" operator="between">
      <formula1>1</formula1>
      <formula2>30</formula2>
    </dataValidation>
    <dataValidation sqref="H8:H37" showDropDown="0" showInputMessage="0" showErrorMessage="1" allowBlank="1" errorTitle="Descanso no válido" error="Escribe los segundos de descanso (0 a 600)." type="whole" operator="between">
      <formula1>0</formula1>
      <formula2>600</formula2>
    </dataValidation>
    <dataValidation sqref="I8:I37" showDropDown="0" showInputMessage="0" showErrorMessage="1" allowBlank="1" errorTitle="Peso no válido" error="Escribe el peso objetivo en kg (0 si usas solo tu peso corporal)." type="decimal" operator="between">
      <formula1>0</formula1>
      <formula2>500</formula2>
    </dataValidation>
    <dataValidation sqref="H5" showDropDown="0" showInputMessage="0" showErrorMessage="1" allowBlank="0" errorTitle="Umbral no válido" error="Escribe un porcentaje entre 50% y 150%." type="decimal" operator="between">
      <formula1>0.5</formula1>
      <formula2>1.5</formula2>
    </dataValidation>
    <dataValidation sqref="D5 L5" showDropDown="0" showInputMessage="0" showErrorMessage="1" allowBlank="0" errorTitle="Valor no válido" error="Escribe un número entre 1 y 10." type="decimal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P12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7" customWidth="1" min="3" max="3"/>
    <col width="32" customWidth="1" min="4" max="4"/>
    <col width="15" customWidth="1" min="5" max="5"/>
    <col width="8" customWidth="1" min="6" max="6"/>
    <col width="9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  <col width="12" customWidth="1" min="13" max="13"/>
    <col width="11" customWidth="1" min="14" max="14"/>
    <col width="30" customWidth="1" min="15" max="15"/>
    <col width="8" customWidth="1" min="16" max="16"/>
  </cols>
  <sheetData>
    <row r="2" ht="34" customHeight="1">
      <c r="B2" s="1" t="inlineStr">
        <is>
          <t>Registro de sesiones</t>
        </is>
      </c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</row>
    <row r="3">
      <c r="B3" s="2" t="inlineStr">
        <is>
          <t>Una fila por ejercicio hecho: fecha, ejercicio, series, repeticiones por serie y peso usado. El resto se calcula solo.</t>
        </is>
      </c>
    </row>
    <row r="5">
      <c r="B5" s="5" t="inlineStr">
        <is>
          <t>Elige el ejercicio de la lista (sale de la hoja «Rutina»). Reps/serie = media de repeticiones por serie. Registra en orden cronológico.</t>
        </is>
      </c>
    </row>
    <row r="7" ht="34" customHeight="1">
      <c r="B7" s="14" t="inlineStr">
        <is>
          <t>Fecha</t>
        </is>
      </c>
      <c r="C7" s="14" t="inlineStr">
        <is>
          <t>Día</t>
        </is>
      </c>
      <c r="D7" s="14" t="inlineStr">
        <is>
          <t>Ejercicio</t>
        </is>
      </c>
      <c r="E7" s="14" t="inlineStr">
        <is>
          <t>Grupo</t>
        </is>
      </c>
      <c r="F7" s="14" t="inlineStr">
        <is>
          <t>Series</t>
        </is>
      </c>
      <c r="G7" s="14" t="inlineStr">
        <is>
          <t>Reps/serie</t>
        </is>
      </c>
      <c r="H7" s="14" t="inlineStr">
        <is>
          <t>Peso (kg)</t>
        </is>
      </c>
      <c r="I7" s="14" t="inlineStr">
        <is>
          <t>Esfuerzo (1-10)</t>
        </is>
      </c>
      <c r="J7" s="14" t="inlineStr">
        <is>
          <t>Reps totales</t>
        </is>
      </c>
      <c r="K7" s="14" t="inlineStr">
        <is>
          <t>Volumen (kg)</t>
        </is>
      </c>
      <c r="L7" s="14" t="inlineStr">
        <is>
          <t>% objetivo</t>
        </is>
      </c>
      <c r="M7" s="14" t="inlineStr">
        <is>
          <t>Estado</t>
        </is>
      </c>
      <c r="N7" s="14" t="inlineStr">
        <is>
          <t>1RM est. (kg)</t>
        </is>
      </c>
      <c r="O7" s="14" t="inlineStr">
        <is>
          <t>Nota</t>
        </is>
      </c>
      <c r="P7" s="14" t="inlineStr">
        <is>
          <t>Día nuevo</t>
        </is>
      </c>
    </row>
    <row r="8">
      <c r="B8" s="32" t="n">
        <v>46286</v>
      </c>
      <c r="C8" s="33">
        <f>IF(B8="","",MID("LunMarMiéJueVieSábDom",(WEEKDAY(B8,2)-1)*3+1,3))</f>
        <v/>
      </c>
      <c r="D8" s="29" t="inlineStr">
        <is>
          <t>Flexiones</t>
        </is>
      </c>
      <c r="E8" s="33">
        <f>IF(D8="","",IFERROR(INDEX(Rutina!$D$8:$D$37,MATCH(D8,Rutina!$C$8:$C$37,0)),"¿En la rutina?"))</f>
        <v/>
      </c>
      <c r="F8" s="27" t="n">
        <v>3</v>
      </c>
      <c r="G8" s="27" t="n">
        <v>10</v>
      </c>
      <c r="H8" s="30" t="n">
        <v>0</v>
      </c>
      <c r="I8" s="27" t="n">
        <v>7</v>
      </c>
      <c r="J8" s="18">
        <f>IF(OR(F8="",G8=""),"",F8*G8)</f>
        <v/>
      </c>
      <c r="K8" s="34">
        <f>IF(J8="","",J8*N(H8))</f>
        <v/>
      </c>
      <c r="L8" s="19">
        <f>IF(J8="","",IFERROR(IF(INDEX(Rutina!$I$8:$I$37,MATCH(D8,Rutina!$C$8:$C$37,0))&gt;0,K8/INDEX(Rutina!$K$8:$K$37,MATCH(D8,Rutina!$C$8:$C$37,0)),J8/INDEX(Rutina!$J$8:$J$37,MATCH(D8,Rutina!$C$8:$C$37,0))),""))</f>
        <v/>
      </c>
      <c r="M8" s="33">
        <f>IF(L8="","",IF(L8&gt;1.02,"Superado",IF(L8&gt;=Rutina!$H$5,"Cumplido","Por debajo")))</f>
        <v/>
      </c>
      <c r="N8" s="31">
        <f>IF(OR(J8="",N(H8)=0),"",ROUND(H8*(1+G8/30),1))</f>
        <v/>
      </c>
      <c r="O8" s="29" t="n"/>
      <c r="P8" s="35">
        <f>IF(B8="","",IF(COUNTIF($B$8:B8,B8)=1,1,0))</f>
        <v/>
      </c>
    </row>
    <row r="9">
      <c r="B9" s="32" t="n">
        <v>46286</v>
      </c>
      <c r="C9" s="33">
        <f>IF(B9="","",MID("LunMarMiéJueVieSábDom",(WEEKDAY(B9,2)-1)*3+1,3))</f>
        <v/>
      </c>
      <c r="D9" s="29" t="inlineStr">
        <is>
          <t>Remo a una mano</t>
        </is>
      </c>
      <c r="E9" s="33">
        <f>IF(D9="","",IFERROR(INDEX(Rutina!$D$8:$D$37,MATCH(D9,Rutina!$C$8:$C$37,0)),"¿En la rutina?"))</f>
        <v/>
      </c>
      <c r="F9" s="27" t="n">
        <v>3</v>
      </c>
      <c r="G9" s="27" t="n">
        <v>10</v>
      </c>
      <c r="H9" s="30" t="n">
        <v>10</v>
      </c>
      <c r="I9" s="27" t="n">
        <v>7</v>
      </c>
      <c r="J9" s="18">
        <f>IF(OR(F9="",G9=""),"",F9*G9)</f>
        <v/>
      </c>
      <c r="K9" s="34">
        <f>IF(J9="","",J9*N(H9))</f>
        <v/>
      </c>
      <c r="L9" s="19">
        <f>IF(J9="","",IFERROR(IF(INDEX(Rutina!$I$8:$I$37,MATCH(D9,Rutina!$C$8:$C$37,0))&gt;0,K9/INDEX(Rutina!$K$8:$K$37,MATCH(D9,Rutina!$C$8:$C$37,0)),J9/INDEX(Rutina!$J$8:$J$37,MATCH(D9,Rutina!$C$8:$C$37,0))),""))</f>
        <v/>
      </c>
      <c r="M9" s="33">
        <f>IF(L9="","",IF(L9&gt;1.02,"Superado",IF(L9&gt;=Rutina!$H$5,"Cumplido","Por debajo")))</f>
        <v/>
      </c>
      <c r="N9" s="31">
        <f>IF(OR(J9="",N(H9)=0),"",ROUND(H9*(1+G9/30),1))</f>
        <v/>
      </c>
      <c r="O9" s="29" t="n"/>
      <c r="P9" s="35">
        <f>IF(B9="","",IF(COUNTIF($B$8:B9,B9)=1,1,0))</f>
        <v/>
      </c>
    </row>
    <row r="10">
      <c r="B10" s="32" t="n">
        <v>46286</v>
      </c>
      <c r="C10" s="33">
        <f>IF(B10="","",MID("LunMarMiéJueVieSábDom",(WEEKDAY(B10,2)-1)*3+1,3))</f>
        <v/>
      </c>
      <c r="D10" s="29" t="inlineStr">
        <is>
          <t>Press de hombro</t>
        </is>
      </c>
      <c r="E10" s="33">
        <f>IF(D10="","",IFERROR(INDEX(Rutina!$D$8:$D$37,MATCH(D10,Rutina!$C$8:$C$37,0)),"¿En la rutina?"))</f>
        <v/>
      </c>
      <c r="F10" s="27" t="n">
        <v>3</v>
      </c>
      <c r="G10" s="27" t="n">
        <v>9</v>
      </c>
      <c r="H10" s="30" t="n">
        <v>8</v>
      </c>
      <c r="I10" s="27" t="n">
        <v>8</v>
      </c>
      <c r="J10" s="18">
        <f>IF(OR(F10="",G10=""),"",F10*G10)</f>
        <v/>
      </c>
      <c r="K10" s="34">
        <f>IF(J10="","",J10*N(H10))</f>
        <v/>
      </c>
      <c r="L10" s="19">
        <f>IF(J10="","",IFERROR(IF(INDEX(Rutina!$I$8:$I$37,MATCH(D10,Rutina!$C$8:$C$37,0))&gt;0,K10/INDEX(Rutina!$K$8:$K$37,MATCH(D10,Rutina!$C$8:$C$37,0)),J10/INDEX(Rutina!$J$8:$J$37,MATCH(D10,Rutina!$C$8:$C$37,0))),""))</f>
        <v/>
      </c>
      <c r="M10" s="33">
        <f>IF(L10="","",IF(L10&gt;1.02,"Superado",IF(L10&gt;=Rutina!$H$5,"Cumplido","Por debajo")))</f>
        <v/>
      </c>
      <c r="N10" s="31">
        <f>IF(OR(J10="",N(H10)=0),"",ROUND(H10*(1+G10/30),1))</f>
        <v/>
      </c>
      <c r="O10" s="29" t="inlineStr">
        <is>
          <t>Última serie dura</t>
        </is>
      </c>
      <c r="P10" s="35">
        <f>IF(B10="","",IF(COUNTIF($B$8:B10,B10)=1,1,0))</f>
        <v/>
      </c>
    </row>
    <row r="11">
      <c r="B11" s="32" t="n">
        <v>46288</v>
      </c>
      <c r="C11" s="33">
        <f>IF(B11="","",MID("LunMarMiéJueVieSábDom",(WEEKDAY(B11,2)-1)*3+1,3))</f>
        <v/>
      </c>
      <c r="D11" s="29" t="inlineStr">
        <is>
          <t>Sentadilla goblet</t>
        </is>
      </c>
      <c r="E11" s="33">
        <f>IF(D11="","",IFERROR(INDEX(Rutina!$D$8:$D$37,MATCH(D11,Rutina!$C$8:$C$37,0)),"¿En la rutina?"))</f>
        <v/>
      </c>
      <c r="F11" s="27" t="n">
        <v>4</v>
      </c>
      <c r="G11" s="27" t="n">
        <v>12</v>
      </c>
      <c r="H11" s="30" t="n">
        <v>14</v>
      </c>
      <c r="I11" s="27" t="n">
        <v>7</v>
      </c>
      <c r="J11" s="18">
        <f>IF(OR(F11="",G11=""),"",F11*G11)</f>
        <v/>
      </c>
      <c r="K11" s="34">
        <f>IF(J11="","",J11*N(H11))</f>
        <v/>
      </c>
      <c r="L11" s="19">
        <f>IF(J11="","",IFERROR(IF(INDEX(Rutina!$I$8:$I$37,MATCH(D11,Rutina!$C$8:$C$37,0))&gt;0,K11/INDEX(Rutina!$K$8:$K$37,MATCH(D11,Rutina!$C$8:$C$37,0)),J11/INDEX(Rutina!$J$8:$J$37,MATCH(D11,Rutina!$C$8:$C$37,0))),""))</f>
        <v/>
      </c>
      <c r="M11" s="33">
        <f>IF(L11="","",IF(L11&gt;1.02,"Superado",IF(L11&gt;=Rutina!$H$5,"Cumplido","Por debajo")))</f>
        <v/>
      </c>
      <c r="N11" s="31">
        <f>IF(OR(J11="",N(H11)=0),"",ROUND(H11*(1+G11/30),1))</f>
        <v/>
      </c>
      <c r="O11" s="29" t="n"/>
      <c r="P11" s="35">
        <f>IF(B11="","",IF(COUNTIF($B$8:B11,B11)=1,1,0))</f>
        <v/>
      </c>
    </row>
    <row r="12">
      <c r="B12" s="32" t="n">
        <v>46288</v>
      </c>
      <c r="C12" s="33">
        <f>IF(B12="","",MID("LunMarMiéJueVieSábDom",(WEEKDAY(B12,2)-1)*3+1,3))</f>
        <v/>
      </c>
      <c r="D12" s="29" t="inlineStr">
        <is>
          <t>Zancadas</t>
        </is>
      </c>
      <c r="E12" s="33">
        <f>IF(D12="","",IFERROR(INDEX(Rutina!$D$8:$D$37,MATCH(D12,Rutina!$C$8:$C$37,0)),"¿En la rutina?"))</f>
        <v/>
      </c>
      <c r="F12" s="27" t="n">
        <v>3</v>
      </c>
      <c r="G12" s="27" t="n">
        <v>10</v>
      </c>
      <c r="H12" s="30" t="n">
        <v>8</v>
      </c>
      <c r="I12" s="27" t="n">
        <v>7</v>
      </c>
      <c r="J12" s="18">
        <f>IF(OR(F12="",G12=""),"",F12*G12)</f>
        <v/>
      </c>
      <c r="K12" s="34">
        <f>IF(J12="","",J12*N(H12))</f>
        <v/>
      </c>
      <c r="L12" s="19">
        <f>IF(J12="","",IFERROR(IF(INDEX(Rutina!$I$8:$I$37,MATCH(D12,Rutina!$C$8:$C$37,0))&gt;0,K12/INDEX(Rutina!$K$8:$K$37,MATCH(D12,Rutina!$C$8:$C$37,0)),J12/INDEX(Rutina!$J$8:$J$37,MATCH(D12,Rutina!$C$8:$C$37,0))),""))</f>
        <v/>
      </c>
      <c r="M12" s="33">
        <f>IF(L12="","",IF(L12&gt;1.02,"Superado",IF(L12&gt;=Rutina!$H$5,"Cumplido","Por debajo")))</f>
        <v/>
      </c>
      <c r="N12" s="31">
        <f>IF(OR(J12="",N(H12)=0),"",ROUND(H12*(1+G12/30),1))</f>
        <v/>
      </c>
      <c r="O12" s="29" t="n"/>
      <c r="P12" s="35">
        <f>IF(B12="","",IF(COUNTIF($B$8:B12,B12)=1,1,0))</f>
        <v/>
      </c>
    </row>
    <row r="13">
      <c r="B13" s="32" t="n">
        <v>46288</v>
      </c>
      <c r="C13" s="33">
        <f>IF(B13="","",MID("LunMarMiéJueVieSábDom",(WEEKDAY(B13,2)-1)*3+1,3))</f>
        <v/>
      </c>
      <c r="D13" s="29" t="inlineStr">
        <is>
          <t>Puente de glúteos</t>
        </is>
      </c>
      <c r="E13" s="33">
        <f>IF(D13="","",IFERROR(INDEX(Rutina!$D$8:$D$37,MATCH(D13,Rutina!$C$8:$C$37,0)),"¿En la rutina?"))</f>
        <v/>
      </c>
      <c r="F13" s="27" t="n">
        <v>3</v>
      </c>
      <c r="G13" s="27" t="n">
        <v>15</v>
      </c>
      <c r="H13" s="30" t="n">
        <v>20</v>
      </c>
      <c r="I13" s="27" t="n">
        <v>6</v>
      </c>
      <c r="J13" s="18">
        <f>IF(OR(F13="",G13=""),"",F13*G13)</f>
        <v/>
      </c>
      <c r="K13" s="34">
        <f>IF(J13="","",J13*N(H13))</f>
        <v/>
      </c>
      <c r="L13" s="19">
        <f>IF(J13="","",IFERROR(IF(INDEX(Rutina!$I$8:$I$37,MATCH(D13,Rutina!$C$8:$C$37,0))&gt;0,K13/INDEX(Rutina!$K$8:$K$37,MATCH(D13,Rutina!$C$8:$C$37,0)),J13/INDEX(Rutina!$J$8:$J$37,MATCH(D13,Rutina!$C$8:$C$37,0))),""))</f>
        <v/>
      </c>
      <c r="M13" s="33">
        <f>IF(L13="","",IF(L13&gt;1.02,"Superado",IF(L13&gt;=Rutina!$H$5,"Cumplido","Por debajo")))</f>
        <v/>
      </c>
      <c r="N13" s="31">
        <f>IF(OR(J13="",N(H13)=0),"",ROUND(H13*(1+G13/30),1))</f>
        <v/>
      </c>
      <c r="O13" s="29" t="n"/>
      <c r="P13" s="35">
        <f>IF(B13="","",IF(COUNTIF($B$8:B13,B13)=1,1,0))</f>
        <v/>
      </c>
    </row>
    <row r="14">
      <c r="B14" s="32" t="n">
        <v>46290</v>
      </c>
      <c r="C14" s="33">
        <f>IF(B14="","",MID("LunMarMiéJueVieSábDom",(WEEKDAY(B14,2)-1)*3+1,3))</f>
        <v/>
      </c>
      <c r="D14" s="29" t="inlineStr">
        <is>
          <t>Fondos en silla</t>
        </is>
      </c>
      <c r="E14" s="33">
        <f>IF(D14="","",IFERROR(INDEX(Rutina!$D$8:$D$37,MATCH(D14,Rutina!$C$8:$C$37,0)),"¿En la rutina?"))</f>
        <v/>
      </c>
      <c r="F14" s="27" t="n">
        <v>3</v>
      </c>
      <c r="G14" s="27" t="n">
        <v>8</v>
      </c>
      <c r="H14" s="30" t="n">
        <v>0</v>
      </c>
      <c r="I14" s="27" t="n">
        <v>8</v>
      </c>
      <c r="J14" s="18">
        <f>IF(OR(F14="",G14=""),"",F14*G14)</f>
        <v/>
      </c>
      <c r="K14" s="34">
        <f>IF(J14="","",J14*N(H14))</f>
        <v/>
      </c>
      <c r="L14" s="19">
        <f>IF(J14="","",IFERROR(IF(INDEX(Rutina!$I$8:$I$37,MATCH(D14,Rutina!$C$8:$C$37,0))&gt;0,K14/INDEX(Rutina!$K$8:$K$37,MATCH(D14,Rutina!$C$8:$C$37,0)),J14/INDEX(Rutina!$J$8:$J$37,MATCH(D14,Rutina!$C$8:$C$37,0))),""))</f>
        <v/>
      </c>
      <c r="M14" s="33">
        <f>IF(L14="","",IF(L14&gt;1.02,"Superado",IF(L14&gt;=Rutina!$H$5,"Cumplido","Por debajo")))</f>
        <v/>
      </c>
      <c r="N14" s="31">
        <f>IF(OR(J14="",N(H14)=0),"",ROUND(H14*(1+G14/30),1))</f>
        <v/>
      </c>
      <c r="O14" s="29" t="inlineStr">
        <is>
          <t>Silla algo inestable</t>
        </is>
      </c>
      <c r="P14" s="35">
        <f>IF(B14="","",IF(COUNTIF($B$8:B14,B14)=1,1,0))</f>
        <v/>
      </c>
    </row>
    <row r="15">
      <c r="B15" s="32" t="n">
        <v>46290</v>
      </c>
      <c r="C15" s="33">
        <f>IF(B15="","",MID("LunMarMiéJueVieSábDom",(WEEKDAY(B15,2)-1)*3+1,3))</f>
        <v/>
      </c>
      <c r="D15" s="29" t="inlineStr">
        <is>
          <t>Peso muerto rumano</t>
        </is>
      </c>
      <c r="E15" s="33">
        <f>IF(D15="","",IFERROR(INDEX(Rutina!$D$8:$D$37,MATCH(D15,Rutina!$C$8:$C$37,0)),"¿En la rutina?"))</f>
        <v/>
      </c>
      <c r="F15" s="27" t="n">
        <v>3</v>
      </c>
      <c r="G15" s="27" t="n">
        <v>10</v>
      </c>
      <c r="H15" s="30" t="n">
        <v>12</v>
      </c>
      <c r="I15" s="27" t="n">
        <v>7</v>
      </c>
      <c r="J15" s="18">
        <f>IF(OR(F15="",G15=""),"",F15*G15)</f>
        <v/>
      </c>
      <c r="K15" s="34">
        <f>IF(J15="","",J15*N(H15))</f>
        <v/>
      </c>
      <c r="L15" s="19">
        <f>IF(J15="","",IFERROR(IF(INDEX(Rutina!$I$8:$I$37,MATCH(D15,Rutina!$C$8:$C$37,0))&gt;0,K15/INDEX(Rutina!$K$8:$K$37,MATCH(D15,Rutina!$C$8:$C$37,0)),J15/INDEX(Rutina!$J$8:$J$37,MATCH(D15,Rutina!$C$8:$C$37,0))),""))</f>
        <v/>
      </c>
      <c r="M15" s="33">
        <f>IF(L15="","",IF(L15&gt;1.02,"Superado",IF(L15&gt;=Rutina!$H$5,"Cumplido","Por debajo")))</f>
        <v/>
      </c>
      <c r="N15" s="31">
        <f>IF(OR(J15="",N(H15)=0),"",ROUND(H15*(1+G15/30),1))</f>
        <v/>
      </c>
      <c r="O15" s="29" t="n"/>
      <c r="P15" s="35">
        <f>IF(B15="","",IF(COUNTIF($B$8:B15,B15)=1,1,0))</f>
        <v/>
      </c>
    </row>
    <row r="16">
      <c r="B16" s="32" t="n">
        <v>46290</v>
      </c>
      <c r="C16" s="33">
        <f>IF(B16="","",MID("LunMarMiéJueVieSábDom",(WEEKDAY(B16,2)-1)*3+1,3))</f>
        <v/>
      </c>
      <c r="D16" s="29" t="inlineStr">
        <is>
          <t>Crunch abdominal</t>
        </is>
      </c>
      <c r="E16" s="33">
        <f>IF(D16="","",IFERROR(INDEX(Rutina!$D$8:$D$37,MATCH(D16,Rutina!$C$8:$C$37,0)),"¿En la rutina?"))</f>
        <v/>
      </c>
      <c r="F16" s="27" t="n">
        <v>3</v>
      </c>
      <c r="G16" s="27" t="n">
        <v>18</v>
      </c>
      <c r="H16" s="30" t="n">
        <v>0</v>
      </c>
      <c r="I16" s="27" t="n">
        <v>6</v>
      </c>
      <c r="J16" s="18">
        <f>IF(OR(F16="",G16=""),"",F16*G16)</f>
        <v/>
      </c>
      <c r="K16" s="34">
        <f>IF(J16="","",J16*N(H16))</f>
        <v/>
      </c>
      <c r="L16" s="19">
        <f>IF(J16="","",IFERROR(IF(INDEX(Rutina!$I$8:$I$37,MATCH(D16,Rutina!$C$8:$C$37,0))&gt;0,K16/INDEX(Rutina!$K$8:$K$37,MATCH(D16,Rutina!$C$8:$C$37,0)),J16/INDEX(Rutina!$J$8:$J$37,MATCH(D16,Rutina!$C$8:$C$37,0))),""))</f>
        <v/>
      </c>
      <c r="M16" s="33">
        <f>IF(L16="","",IF(L16&gt;1.02,"Superado",IF(L16&gt;=Rutina!$H$5,"Cumplido","Por debajo")))</f>
        <v/>
      </c>
      <c r="N16" s="31">
        <f>IF(OR(J16="",N(H16)=0),"",ROUND(H16*(1+G16/30),1))</f>
        <v/>
      </c>
      <c r="O16" s="29" t="n"/>
      <c r="P16" s="35">
        <f>IF(B16="","",IF(COUNTIF($B$8:B16,B16)=1,1,0))</f>
        <v/>
      </c>
    </row>
    <row r="17">
      <c r="B17" s="32" t="n">
        <v>46293</v>
      </c>
      <c r="C17" s="33">
        <f>IF(B17="","",MID("LunMarMiéJueVieSábDom",(WEEKDAY(B17,2)-1)*3+1,3))</f>
        <v/>
      </c>
      <c r="D17" s="29" t="inlineStr">
        <is>
          <t>Flexiones</t>
        </is>
      </c>
      <c r="E17" s="33">
        <f>IF(D17="","",IFERROR(INDEX(Rutina!$D$8:$D$37,MATCH(D17,Rutina!$C$8:$C$37,0)),"¿En la rutina?"))</f>
        <v/>
      </c>
      <c r="F17" s="27" t="n">
        <v>3</v>
      </c>
      <c r="G17" s="27" t="n">
        <v>12</v>
      </c>
      <c r="H17" s="30" t="n">
        <v>0</v>
      </c>
      <c r="I17" s="27" t="n">
        <v>7</v>
      </c>
      <c r="J17" s="18">
        <f>IF(OR(F17="",G17=""),"",F17*G17)</f>
        <v/>
      </c>
      <c r="K17" s="34">
        <f>IF(J17="","",J17*N(H17))</f>
        <v/>
      </c>
      <c r="L17" s="19">
        <f>IF(J17="","",IFERROR(IF(INDEX(Rutina!$I$8:$I$37,MATCH(D17,Rutina!$C$8:$C$37,0))&gt;0,K17/INDEX(Rutina!$K$8:$K$37,MATCH(D17,Rutina!$C$8:$C$37,0)),J17/INDEX(Rutina!$J$8:$J$37,MATCH(D17,Rutina!$C$8:$C$37,0))),""))</f>
        <v/>
      </c>
      <c r="M17" s="33">
        <f>IF(L17="","",IF(L17&gt;1.02,"Superado",IF(L17&gt;=Rutina!$H$5,"Cumplido","Por debajo")))</f>
        <v/>
      </c>
      <c r="N17" s="31">
        <f>IF(OR(J17="",N(H17)=0),"",ROUND(H17*(1+G17/30),1))</f>
        <v/>
      </c>
      <c r="O17" s="29" t="inlineStr">
        <is>
          <t>Objetivo logrado</t>
        </is>
      </c>
      <c r="P17" s="35">
        <f>IF(B17="","",IF(COUNTIF($B$8:B17,B17)=1,1,0))</f>
        <v/>
      </c>
    </row>
    <row r="18">
      <c r="B18" s="32" t="n">
        <v>46293</v>
      </c>
      <c r="C18" s="33">
        <f>IF(B18="","",MID("LunMarMiéJueVieSábDom",(WEEKDAY(B18,2)-1)*3+1,3))</f>
        <v/>
      </c>
      <c r="D18" s="29" t="inlineStr">
        <is>
          <t>Remo a una mano</t>
        </is>
      </c>
      <c r="E18" s="33">
        <f>IF(D18="","",IFERROR(INDEX(Rutina!$D$8:$D$37,MATCH(D18,Rutina!$C$8:$C$37,0)),"¿En la rutina?"))</f>
        <v/>
      </c>
      <c r="F18" s="27" t="n">
        <v>3</v>
      </c>
      <c r="G18" s="27" t="n">
        <v>10</v>
      </c>
      <c r="H18" s="30" t="n">
        <v>12</v>
      </c>
      <c r="I18" s="27" t="n">
        <v>8</v>
      </c>
      <c r="J18" s="18">
        <f>IF(OR(F18="",G18=""),"",F18*G18)</f>
        <v/>
      </c>
      <c r="K18" s="34">
        <f>IF(J18="","",J18*N(H18))</f>
        <v/>
      </c>
      <c r="L18" s="19">
        <f>IF(J18="","",IFERROR(IF(INDEX(Rutina!$I$8:$I$37,MATCH(D18,Rutina!$C$8:$C$37,0))&gt;0,K18/INDEX(Rutina!$K$8:$K$37,MATCH(D18,Rutina!$C$8:$C$37,0)),J18/INDEX(Rutina!$J$8:$J$37,MATCH(D18,Rutina!$C$8:$C$37,0))),""))</f>
        <v/>
      </c>
      <c r="M18" s="33">
        <f>IF(L18="","",IF(L18&gt;1.02,"Superado",IF(L18&gt;=Rutina!$H$5,"Cumplido","Por debajo")))</f>
        <v/>
      </c>
      <c r="N18" s="31">
        <f>IF(OR(J18="",N(H18)=0),"",ROUND(H18*(1+G18/30),1))</f>
        <v/>
      </c>
      <c r="O18" s="29" t="inlineStr">
        <is>
          <t>Subo 2 kg</t>
        </is>
      </c>
      <c r="P18" s="35">
        <f>IF(B18="","",IF(COUNTIF($B$8:B18,B18)=1,1,0))</f>
        <v/>
      </c>
    </row>
    <row r="19">
      <c r="B19" s="32" t="n">
        <v>46293</v>
      </c>
      <c r="C19" s="33">
        <f>IF(B19="","",MID("LunMarMiéJueVieSábDom",(WEEKDAY(B19,2)-1)*3+1,3))</f>
        <v/>
      </c>
      <c r="D19" s="29" t="inlineStr">
        <is>
          <t>Press de hombro</t>
        </is>
      </c>
      <c r="E19" s="33">
        <f>IF(D19="","",IFERROR(INDEX(Rutina!$D$8:$D$37,MATCH(D19,Rutina!$C$8:$C$37,0)),"¿En la rutina?"))</f>
        <v/>
      </c>
      <c r="F19" s="27" t="n">
        <v>3</v>
      </c>
      <c r="G19" s="27" t="n">
        <v>10</v>
      </c>
      <c r="H19" s="30" t="n">
        <v>8</v>
      </c>
      <c r="I19" s="27" t="n">
        <v>7</v>
      </c>
      <c r="J19" s="18">
        <f>IF(OR(F19="",G19=""),"",F19*G19)</f>
        <v/>
      </c>
      <c r="K19" s="34">
        <f>IF(J19="","",J19*N(H19))</f>
        <v/>
      </c>
      <c r="L19" s="19">
        <f>IF(J19="","",IFERROR(IF(INDEX(Rutina!$I$8:$I$37,MATCH(D19,Rutina!$C$8:$C$37,0))&gt;0,K19/INDEX(Rutina!$K$8:$K$37,MATCH(D19,Rutina!$C$8:$C$37,0)),J19/INDEX(Rutina!$J$8:$J$37,MATCH(D19,Rutina!$C$8:$C$37,0))),""))</f>
        <v/>
      </c>
      <c r="M19" s="33">
        <f>IF(L19="","",IF(L19&gt;1.02,"Superado",IF(L19&gt;=Rutina!$H$5,"Cumplido","Por debajo")))</f>
        <v/>
      </c>
      <c r="N19" s="31">
        <f>IF(OR(J19="",N(H19)=0),"",ROUND(H19*(1+G19/30),1))</f>
        <v/>
      </c>
      <c r="O19" s="29" t="n"/>
      <c r="P19" s="35">
        <f>IF(B19="","",IF(COUNTIF($B$8:B19,B19)=1,1,0))</f>
        <v/>
      </c>
    </row>
    <row r="20">
      <c r="B20" s="32" t="n">
        <v>46295</v>
      </c>
      <c r="C20" s="33">
        <f>IF(B20="","",MID("LunMarMiéJueVieSábDom",(WEEKDAY(B20,2)-1)*3+1,3))</f>
        <v/>
      </c>
      <c r="D20" s="29" t="inlineStr">
        <is>
          <t>Sentadilla goblet</t>
        </is>
      </c>
      <c r="E20" s="33">
        <f>IF(D20="","",IFERROR(INDEX(Rutina!$D$8:$D$37,MATCH(D20,Rutina!$C$8:$C$37,0)),"¿En la rutina?"))</f>
        <v/>
      </c>
      <c r="F20" s="27" t="n">
        <v>4</v>
      </c>
      <c r="G20" s="27" t="n">
        <v>12</v>
      </c>
      <c r="H20" s="30" t="n">
        <v>16</v>
      </c>
      <c r="I20" s="27" t="n">
        <v>8</v>
      </c>
      <c r="J20" s="18">
        <f>IF(OR(F20="",G20=""),"",F20*G20)</f>
        <v/>
      </c>
      <c r="K20" s="34">
        <f>IF(J20="","",J20*N(H20))</f>
        <v/>
      </c>
      <c r="L20" s="19">
        <f>IF(J20="","",IFERROR(IF(INDEX(Rutina!$I$8:$I$37,MATCH(D20,Rutina!$C$8:$C$37,0))&gt;0,K20/INDEX(Rutina!$K$8:$K$37,MATCH(D20,Rutina!$C$8:$C$37,0)),J20/INDEX(Rutina!$J$8:$J$37,MATCH(D20,Rutina!$C$8:$C$37,0))),""))</f>
        <v/>
      </c>
      <c r="M20" s="33">
        <f>IF(L20="","",IF(L20&gt;1.02,"Superado",IF(L20&gt;=Rutina!$H$5,"Cumplido","Por debajo")))</f>
        <v/>
      </c>
      <c r="N20" s="31">
        <f>IF(OR(J20="",N(H20)=0),"",ROUND(H20*(1+G20/30),1))</f>
        <v/>
      </c>
      <c r="O20" s="29" t="inlineStr">
        <is>
          <t>Mancuerna de 16 kg</t>
        </is>
      </c>
      <c r="P20" s="35">
        <f>IF(B20="","",IF(COUNTIF($B$8:B20,B20)=1,1,0))</f>
        <v/>
      </c>
    </row>
    <row r="21">
      <c r="B21" s="32" t="n">
        <v>46295</v>
      </c>
      <c r="C21" s="33">
        <f>IF(B21="","",MID("LunMarMiéJueVieSábDom",(WEEKDAY(B21,2)-1)*3+1,3))</f>
        <v/>
      </c>
      <c r="D21" s="29" t="inlineStr">
        <is>
          <t>Zancadas</t>
        </is>
      </c>
      <c r="E21" s="33">
        <f>IF(D21="","",IFERROR(INDEX(Rutina!$D$8:$D$37,MATCH(D21,Rutina!$C$8:$C$37,0)),"¿En la rutina?"))</f>
        <v/>
      </c>
      <c r="F21" s="27" t="n">
        <v>3</v>
      </c>
      <c r="G21" s="27" t="n">
        <v>10</v>
      </c>
      <c r="H21" s="30" t="n">
        <v>8</v>
      </c>
      <c r="I21" s="27" t="n">
        <v>6</v>
      </c>
      <c r="J21" s="18">
        <f>IF(OR(F21="",G21=""),"",F21*G21)</f>
        <v/>
      </c>
      <c r="K21" s="34">
        <f>IF(J21="","",J21*N(H21))</f>
        <v/>
      </c>
      <c r="L21" s="19">
        <f>IF(J21="","",IFERROR(IF(INDEX(Rutina!$I$8:$I$37,MATCH(D21,Rutina!$C$8:$C$37,0))&gt;0,K21/INDEX(Rutina!$K$8:$K$37,MATCH(D21,Rutina!$C$8:$C$37,0)),J21/INDEX(Rutina!$J$8:$J$37,MATCH(D21,Rutina!$C$8:$C$37,0))),""))</f>
        <v/>
      </c>
      <c r="M21" s="33">
        <f>IF(L21="","",IF(L21&gt;1.02,"Superado",IF(L21&gt;=Rutina!$H$5,"Cumplido","Por debajo")))</f>
        <v/>
      </c>
      <c r="N21" s="31">
        <f>IF(OR(J21="",N(H21)=0),"",ROUND(H21*(1+G21/30),1))</f>
        <v/>
      </c>
      <c r="O21" s="29" t="n"/>
      <c r="P21" s="35">
        <f>IF(B21="","",IF(COUNTIF($B$8:B21,B21)=1,1,0))</f>
        <v/>
      </c>
    </row>
    <row r="22">
      <c r="B22" s="32" t="n">
        <v>46295</v>
      </c>
      <c r="C22" s="33">
        <f>IF(B22="","",MID("LunMarMiéJueVieSábDom",(WEEKDAY(B22,2)-1)*3+1,3))</f>
        <v/>
      </c>
      <c r="D22" s="29" t="inlineStr">
        <is>
          <t>Puente de glúteos</t>
        </is>
      </c>
      <c r="E22" s="33">
        <f>IF(D22="","",IFERROR(INDEX(Rutina!$D$8:$D$37,MATCH(D22,Rutina!$C$8:$C$37,0)),"¿En la rutina?"))</f>
        <v/>
      </c>
      <c r="F22" s="27" t="n">
        <v>3</v>
      </c>
      <c r="G22" s="27" t="n">
        <v>15</v>
      </c>
      <c r="H22" s="30" t="n">
        <v>22</v>
      </c>
      <c r="I22" s="27" t="n">
        <v>7</v>
      </c>
      <c r="J22" s="18">
        <f>IF(OR(F22="",G22=""),"",F22*G22)</f>
        <v/>
      </c>
      <c r="K22" s="34">
        <f>IF(J22="","",J22*N(H22))</f>
        <v/>
      </c>
      <c r="L22" s="19">
        <f>IF(J22="","",IFERROR(IF(INDEX(Rutina!$I$8:$I$37,MATCH(D22,Rutina!$C$8:$C$37,0))&gt;0,K22/INDEX(Rutina!$K$8:$K$37,MATCH(D22,Rutina!$C$8:$C$37,0)),J22/INDEX(Rutina!$J$8:$J$37,MATCH(D22,Rutina!$C$8:$C$37,0))),""))</f>
        <v/>
      </c>
      <c r="M22" s="33">
        <f>IF(L22="","",IF(L22&gt;1.02,"Superado",IF(L22&gt;=Rutina!$H$5,"Cumplido","Por debajo")))</f>
        <v/>
      </c>
      <c r="N22" s="31">
        <f>IF(OR(J22="",N(H22)=0),"",ROUND(H22*(1+G22/30),1))</f>
        <v/>
      </c>
      <c r="O22" s="29" t="n"/>
      <c r="P22" s="35">
        <f>IF(B22="","",IF(COUNTIF($B$8:B22,B22)=1,1,0))</f>
        <v/>
      </c>
    </row>
    <row r="23">
      <c r="B23" s="32" t="n"/>
      <c r="C23" s="33">
        <f>IF(B23="","",MID("LunMarMiéJueVieSábDom",(WEEKDAY(B23,2)-1)*3+1,3))</f>
        <v/>
      </c>
      <c r="D23" s="29" t="n"/>
      <c r="E23" s="33">
        <f>IF(D23="","",IFERROR(INDEX(Rutina!$D$8:$D$37,MATCH(D23,Rutina!$C$8:$C$37,0)),"¿En la rutina?"))</f>
        <v/>
      </c>
      <c r="F23" s="27" t="n"/>
      <c r="G23" s="27" t="n"/>
      <c r="H23" s="30" t="n"/>
      <c r="I23" s="27" t="n"/>
      <c r="J23" s="18">
        <f>IF(OR(F23="",G23=""),"",F23*G23)</f>
        <v/>
      </c>
      <c r="K23" s="34">
        <f>IF(J23="","",J23*N(H23))</f>
        <v/>
      </c>
      <c r="L23" s="19">
        <f>IF(J23="","",IFERROR(IF(INDEX(Rutina!$I$8:$I$37,MATCH(D23,Rutina!$C$8:$C$37,0))&gt;0,K23/INDEX(Rutina!$K$8:$K$37,MATCH(D23,Rutina!$C$8:$C$37,0)),J23/INDEX(Rutina!$J$8:$J$37,MATCH(D23,Rutina!$C$8:$C$37,0))),""))</f>
        <v/>
      </c>
      <c r="M23" s="33">
        <f>IF(L23="","",IF(L23&gt;1.02,"Superado",IF(L23&gt;=Rutina!$H$5,"Cumplido","Por debajo")))</f>
        <v/>
      </c>
      <c r="N23" s="31">
        <f>IF(OR(J23="",N(H23)=0),"",ROUND(H23*(1+G23/30),1))</f>
        <v/>
      </c>
      <c r="O23" s="29" t="n"/>
      <c r="P23" s="35">
        <f>IF(B23="","",IF(COUNTIF($B$8:B23,B23)=1,1,0))</f>
        <v/>
      </c>
    </row>
    <row r="24">
      <c r="B24" s="32" t="n"/>
      <c r="C24" s="33">
        <f>IF(B24="","",MID("LunMarMiéJueVieSábDom",(WEEKDAY(B24,2)-1)*3+1,3))</f>
        <v/>
      </c>
      <c r="D24" s="29" t="n"/>
      <c r="E24" s="33">
        <f>IF(D24="","",IFERROR(INDEX(Rutina!$D$8:$D$37,MATCH(D24,Rutina!$C$8:$C$37,0)),"¿En la rutina?"))</f>
        <v/>
      </c>
      <c r="F24" s="27" t="n"/>
      <c r="G24" s="27" t="n"/>
      <c r="H24" s="30" t="n"/>
      <c r="I24" s="27" t="n"/>
      <c r="J24" s="18">
        <f>IF(OR(F24="",G24=""),"",F24*G24)</f>
        <v/>
      </c>
      <c r="K24" s="34">
        <f>IF(J24="","",J24*N(H24))</f>
        <v/>
      </c>
      <c r="L24" s="19">
        <f>IF(J24="","",IFERROR(IF(INDEX(Rutina!$I$8:$I$37,MATCH(D24,Rutina!$C$8:$C$37,0))&gt;0,K24/INDEX(Rutina!$K$8:$K$37,MATCH(D24,Rutina!$C$8:$C$37,0)),J24/INDEX(Rutina!$J$8:$J$37,MATCH(D24,Rutina!$C$8:$C$37,0))),""))</f>
        <v/>
      </c>
      <c r="M24" s="33">
        <f>IF(L24="","",IF(L24&gt;1.02,"Superado",IF(L24&gt;=Rutina!$H$5,"Cumplido","Por debajo")))</f>
        <v/>
      </c>
      <c r="N24" s="31">
        <f>IF(OR(J24="",N(H24)=0),"",ROUND(H24*(1+G24/30),1))</f>
        <v/>
      </c>
      <c r="O24" s="29" t="n"/>
      <c r="P24" s="35">
        <f>IF(B24="","",IF(COUNTIF($B$8:B24,B24)=1,1,0))</f>
        <v/>
      </c>
    </row>
    <row r="25">
      <c r="B25" s="32" t="n"/>
      <c r="C25" s="33">
        <f>IF(B25="","",MID("LunMarMiéJueVieSábDom",(WEEKDAY(B25,2)-1)*3+1,3))</f>
        <v/>
      </c>
      <c r="D25" s="29" t="n"/>
      <c r="E25" s="33">
        <f>IF(D25="","",IFERROR(INDEX(Rutina!$D$8:$D$37,MATCH(D25,Rutina!$C$8:$C$37,0)),"¿En la rutina?"))</f>
        <v/>
      </c>
      <c r="F25" s="27" t="n"/>
      <c r="G25" s="27" t="n"/>
      <c r="H25" s="30" t="n"/>
      <c r="I25" s="27" t="n"/>
      <c r="J25" s="18">
        <f>IF(OR(F25="",G25=""),"",F25*G25)</f>
        <v/>
      </c>
      <c r="K25" s="34">
        <f>IF(J25="","",J25*N(H25))</f>
        <v/>
      </c>
      <c r="L25" s="19">
        <f>IF(J25="","",IFERROR(IF(INDEX(Rutina!$I$8:$I$37,MATCH(D25,Rutina!$C$8:$C$37,0))&gt;0,K25/INDEX(Rutina!$K$8:$K$37,MATCH(D25,Rutina!$C$8:$C$37,0)),J25/INDEX(Rutina!$J$8:$J$37,MATCH(D25,Rutina!$C$8:$C$37,0))),""))</f>
        <v/>
      </c>
      <c r="M25" s="33">
        <f>IF(L25="","",IF(L25&gt;1.02,"Superado",IF(L25&gt;=Rutina!$H$5,"Cumplido","Por debajo")))</f>
        <v/>
      </c>
      <c r="N25" s="31">
        <f>IF(OR(J25="",N(H25)=0),"",ROUND(H25*(1+G25/30),1))</f>
        <v/>
      </c>
      <c r="O25" s="29" t="n"/>
      <c r="P25" s="35">
        <f>IF(B25="","",IF(COUNTIF($B$8:B25,B25)=1,1,0))</f>
        <v/>
      </c>
    </row>
    <row r="26">
      <c r="B26" s="32" t="n"/>
      <c r="C26" s="33">
        <f>IF(B26="","",MID("LunMarMiéJueVieSábDom",(WEEKDAY(B26,2)-1)*3+1,3))</f>
        <v/>
      </c>
      <c r="D26" s="29" t="n"/>
      <c r="E26" s="33">
        <f>IF(D26="","",IFERROR(INDEX(Rutina!$D$8:$D$37,MATCH(D26,Rutina!$C$8:$C$37,0)),"¿En la rutina?"))</f>
        <v/>
      </c>
      <c r="F26" s="27" t="n"/>
      <c r="G26" s="27" t="n"/>
      <c r="H26" s="30" t="n"/>
      <c r="I26" s="27" t="n"/>
      <c r="J26" s="18">
        <f>IF(OR(F26="",G26=""),"",F26*G26)</f>
        <v/>
      </c>
      <c r="K26" s="34">
        <f>IF(J26="","",J26*N(H26))</f>
        <v/>
      </c>
      <c r="L26" s="19">
        <f>IF(J26="","",IFERROR(IF(INDEX(Rutina!$I$8:$I$37,MATCH(D26,Rutina!$C$8:$C$37,0))&gt;0,K26/INDEX(Rutina!$K$8:$K$37,MATCH(D26,Rutina!$C$8:$C$37,0)),J26/INDEX(Rutina!$J$8:$J$37,MATCH(D26,Rutina!$C$8:$C$37,0))),""))</f>
        <v/>
      </c>
      <c r="M26" s="33">
        <f>IF(L26="","",IF(L26&gt;1.02,"Superado",IF(L26&gt;=Rutina!$H$5,"Cumplido","Por debajo")))</f>
        <v/>
      </c>
      <c r="N26" s="31">
        <f>IF(OR(J26="",N(H26)=0),"",ROUND(H26*(1+G26/30),1))</f>
        <v/>
      </c>
      <c r="O26" s="29" t="n"/>
      <c r="P26" s="35">
        <f>IF(B26="","",IF(COUNTIF($B$8:B26,B26)=1,1,0))</f>
        <v/>
      </c>
    </row>
    <row r="27">
      <c r="B27" s="32" t="n"/>
      <c r="C27" s="33">
        <f>IF(B27="","",MID("LunMarMiéJueVieSábDom",(WEEKDAY(B27,2)-1)*3+1,3))</f>
        <v/>
      </c>
      <c r="D27" s="29" t="n"/>
      <c r="E27" s="33">
        <f>IF(D27="","",IFERROR(INDEX(Rutina!$D$8:$D$37,MATCH(D27,Rutina!$C$8:$C$37,0)),"¿En la rutina?"))</f>
        <v/>
      </c>
      <c r="F27" s="27" t="n"/>
      <c r="G27" s="27" t="n"/>
      <c r="H27" s="30" t="n"/>
      <c r="I27" s="27" t="n"/>
      <c r="J27" s="18">
        <f>IF(OR(F27="",G27=""),"",F27*G27)</f>
        <v/>
      </c>
      <c r="K27" s="34">
        <f>IF(J27="","",J27*N(H27))</f>
        <v/>
      </c>
      <c r="L27" s="19">
        <f>IF(J27="","",IFERROR(IF(INDEX(Rutina!$I$8:$I$37,MATCH(D27,Rutina!$C$8:$C$37,0))&gt;0,K27/INDEX(Rutina!$K$8:$K$37,MATCH(D27,Rutina!$C$8:$C$37,0)),J27/INDEX(Rutina!$J$8:$J$37,MATCH(D27,Rutina!$C$8:$C$37,0))),""))</f>
        <v/>
      </c>
      <c r="M27" s="33">
        <f>IF(L27="","",IF(L27&gt;1.02,"Superado",IF(L27&gt;=Rutina!$H$5,"Cumplido","Por debajo")))</f>
        <v/>
      </c>
      <c r="N27" s="31">
        <f>IF(OR(J27="",N(H27)=0),"",ROUND(H27*(1+G27/30),1))</f>
        <v/>
      </c>
      <c r="O27" s="29" t="n"/>
      <c r="P27" s="35">
        <f>IF(B27="","",IF(COUNTIF($B$8:B27,B27)=1,1,0))</f>
        <v/>
      </c>
    </row>
    <row r="28">
      <c r="B28" s="32" t="n"/>
      <c r="C28" s="33">
        <f>IF(B28="","",MID("LunMarMiéJueVieSábDom",(WEEKDAY(B28,2)-1)*3+1,3))</f>
        <v/>
      </c>
      <c r="D28" s="29" t="n"/>
      <c r="E28" s="33">
        <f>IF(D28="","",IFERROR(INDEX(Rutina!$D$8:$D$37,MATCH(D28,Rutina!$C$8:$C$37,0)),"¿En la rutina?"))</f>
        <v/>
      </c>
      <c r="F28" s="27" t="n"/>
      <c r="G28" s="27" t="n"/>
      <c r="H28" s="30" t="n"/>
      <c r="I28" s="27" t="n"/>
      <c r="J28" s="18">
        <f>IF(OR(F28="",G28=""),"",F28*G28)</f>
        <v/>
      </c>
      <c r="K28" s="34">
        <f>IF(J28="","",J28*N(H28))</f>
        <v/>
      </c>
      <c r="L28" s="19">
        <f>IF(J28="","",IFERROR(IF(INDEX(Rutina!$I$8:$I$37,MATCH(D28,Rutina!$C$8:$C$37,0))&gt;0,K28/INDEX(Rutina!$K$8:$K$37,MATCH(D28,Rutina!$C$8:$C$37,0)),J28/INDEX(Rutina!$J$8:$J$37,MATCH(D28,Rutina!$C$8:$C$37,0))),""))</f>
        <v/>
      </c>
      <c r="M28" s="33">
        <f>IF(L28="","",IF(L28&gt;1.02,"Superado",IF(L28&gt;=Rutina!$H$5,"Cumplido","Por debajo")))</f>
        <v/>
      </c>
      <c r="N28" s="31">
        <f>IF(OR(J28="",N(H28)=0),"",ROUND(H28*(1+G28/30),1))</f>
        <v/>
      </c>
      <c r="O28" s="29" t="n"/>
      <c r="P28" s="35">
        <f>IF(B28="","",IF(COUNTIF($B$8:B28,B28)=1,1,0))</f>
        <v/>
      </c>
    </row>
    <row r="29">
      <c r="B29" s="32" t="n"/>
      <c r="C29" s="33">
        <f>IF(B29="","",MID("LunMarMiéJueVieSábDom",(WEEKDAY(B29,2)-1)*3+1,3))</f>
        <v/>
      </c>
      <c r="D29" s="29" t="n"/>
      <c r="E29" s="33">
        <f>IF(D29="","",IFERROR(INDEX(Rutina!$D$8:$D$37,MATCH(D29,Rutina!$C$8:$C$37,0)),"¿En la rutina?"))</f>
        <v/>
      </c>
      <c r="F29" s="27" t="n"/>
      <c r="G29" s="27" t="n"/>
      <c r="H29" s="30" t="n"/>
      <c r="I29" s="27" t="n"/>
      <c r="J29" s="18">
        <f>IF(OR(F29="",G29=""),"",F29*G29)</f>
        <v/>
      </c>
      <c r="K29" s="34">
        <f>IF(J29="","",J29*N(H29))</f>
        <v/>
      </c>
      <c r="L29" s="19">
        <f>IF(J29="","",IFERROR(IF(INDEX(Rutina!$I$8:$I$37,MATCH(D29,Rutina!$C$8:$C$37,0))&gt;0,K29/INDEX(Rutina!$K$8:$K$37,MATCH(D29,Rutina!$C$8:$C$37,0)),J29/INDEX(Rutina!$J$8:$J$37,MATCH(D29,Rutina!$C$8:$C$37,0))),""))</f>
        <v/>
      </c>
      <c r="M29" s="33">
        <f>IF(L29="","",IF(L29&gt;1.02,"Superado",IF(L29&gt;=Rutina!$H$5,"Cumplido","Por debajo")))</f>
        <v/>
      </c>
      <c r="N29" s="31">
        <f>IF(OR(J29="",N(H29)=0),"",ROUND(H29*(1+G29/30),1))</f>
        <v/>
      </c>
      <c r="O29" s="29" t="n"/>
      <c r="P29" s="35">
        <f>IF(B29="","",IF(COUNTIF($B$8:B29,B29)=1,1,0))</f>
        <v/>
      </c>
    </row>
    <row r="30">
      <c r="B30" s="32" t="n"/>
      <c r="C30" s="33">
        <f>IF(B30="","",MID("LunMarMiéJueVieSábDom",(WEEKDAY(B30,2)-1)*3+1,3))</f>
        <v/>
      </c>
      <c r="D30" s="29" t="n"/>
      <c r="E30" s="33">
        <f>IF(D30="","",IFERROR(INDEX(Rutina!$D$8:$D$37,MATCH(D30,Rutina!$C$8:$C$37,0)),"¿En la rutina?"))</f>
        <v/>
      </c>
      <c r="F30" s="27" t="n"/>
      <c r="G30" s="27" t="n"/>
      <c r="H30" s="30" t="n"/>
      <c r="I30" s="27" t="n"/>
      <c r="J30" s="18">
        <f>IF(OR(F30="",G30=""),"",F30*G30)</f>
        <v/>
      </c>
      <c r="K30" s="34">
        <f>IF(J30="","",J30*N(H30))</f>
        <v/>
      </c>
      <c r="L30" s="19">
        <f>IF(J30="","",IFERROR(IF(INDEX(Rutina!$I$8:$I$37,MATCH(D30,Rutina!$C$8:$C$37,0))&gt;0,K30/INDEX(Rutina!$K$8:$K$37,MATCH(D30,Rutina!$C$8:$C$37,0)),J30/INDEX(Rutina!$J$8:$J$37,MATCH(D30,Rutina!$C$8:$C$37,0))),""))</f>
        <v/>
      </c>
      <c r="M30" s="33">
        <f>IF(L30="","",IF(L30&gt;1.02,"Superado",IF(L30&gt;=Rutina!$H$5,"Cumplido","Por debajo")))</f>
        <v/>
      </c>
      <c r="N30" s="31">
        <f>IF(OR(J30="",N(H30)=0),"",ROUND(H30*(1+G30/30),1))</f>
        <v/>
      </c>
      <c r="O30" s="29" t="n"/>
      <c r="P30" s="35">
        <f>IF(B30="","",IF(COUNTIF($B$8:B30,B30)=1,1,0))</f>
        <v/>
      </c>
    </row>
    <row r="31">
      <c r="B31" s="32" t="n"/>
      <c r="C31" s="33">
        <f>IF(B31="","",MID("LunMarMiéJueVieSábDom",(WEEKDAY(B31,2)-1)*3+1,3))</f>
        <v/>
      </c>
      <c r="D31" s="29" t="n"/>
      <c r="E31" s="33">
        <f>IF(D31="","",IFERROR(INDEX(Rutina!$D$8:$D$37,MATCH(D31,Rutina!$C$8:$C$37,0)),"¿En la rutina?"))</f>
        <v/>
      </c>
      <c r="F31" s="27" t="n"/>
      <c r="G31" s="27" t="n"/>
      <c r="H31" s="30" t="n"/>
      <c r="I31" s="27" t="n"/>
      <c r="J31" s="18">
        <f>IF(OR(F31="",G31=""),"",F31*G31)</f>
        <v/>
      </c>
      <c r="K31" s="34">
        <f>IF(J31="","",J31*N(H31))</f>
        <v/>
      </c>
      <c r="L31" s="19">
        <f>IF(J31="","",IFERROR(IF(INDEX(Rutina!$I$8:$I$37,MATCH(D31,Rutina!$C$8:$C$37,0))&gt;0,K31/INDEX(Rutina!$K$8:$K$37,MATCH(D31,Rutina!$C$8:$C$37,0)),J31/INDEX(Rutina!$J$8:$J$37,MATCH(D31,Rutina!$C$8:$C$37,0))),""))</f>
        <v/>
      </c>
      <c r="M31" s="33">
        <f>IF(L31="","",IF(L31&gt;1.02,"Superado",IF(L31&gt;=Rutina!$H$5,"Cumplido","Por debajo")))</f>
        <v/>
      </c>
      <c r="N31" s="31">
        <f>IF(OR(J31="",N(H31)=0),"",ROUND(H31*(1+G31/30),1))</f>
        <v/>
      </c>
      <c r="O31" s="29" t="n"/>
      <c r="P31" s="35">
        <f>IF(B31="","",IF(COUNTIF($B$8:B31,B31)=1,1,0))</f>
        <v/>
      </c>
    </row>
    <row r="32">
      <c r="B32" s="32" t="n"/>
      <c r="C32" s="33">
        <f>IF(B32="","",MID("LunMarMiéJueVieSábDom",(WEEKDAY(B32,2)-1)*3+1,3))</f>
        <v/>
      </c>
      <c r="D32" s="29" t="n"/>
      <c r="E32" s="33">
        <f>IF(D32="","",IFERROR(INDEX(Rutina!$D$8:$D$37,MATCH(D32,Rutina!$C$8:$C$37,0)),"¿En la rutina?"))</f>
        <v/>
      </c>
      <c r="F32" s="27" t="n"/>
      <c r="G32" s="27" t="n"/>
      <c r="H32" s="30" t="n"/>
      <c r="I32" s="27" t="n"/>
      <c r="J32" s="18">
        <f>IF(OR(F32="",G32=""),"",F32*G32)</f>
        <v/>
      </c>
      <c r="K32" s="34">
        <f>IF(J32="","",J32*N(H32))</f>
        <v/>
      </c>
      <c r="L32" s="19">
        <f>IF(J32="","",IFERROR(IF(INDEX(Rutina!$I$8:$I$37,MATCH(D32,Rutina!$C$8:$C$37,0))&gt;0,K32/INDEX(Rutina!$K$8:$K$37,MATCH(D32,Rutina!$C$8:$C$37,0)),J32/INDEX(Rutina!$J$8:$J$37,MATCH(D32,Rutina!$C$8:$C$37,0))),""))</f>
        <v/>
      </c>
      <c r="M32" s="33">
        <f>IF(L32="","",IF(L32&gt;1.02,"Superado",IF(L32&gt;=Rutina!$H$5,"Cumplido","Por debajo")))</f>
        <v/>
      </c>
      <c r="N32" s="31">
        <f>IF(OR(J32="",N(H32)=0),"",ROUND(H32*(1+G32/30),1))</f>
        <v/>
      </c>
      <c r="O32" s="29" t="n"/>
      <c r="P32" s="35">
        <f>IF(B32="","",IF(COUNTIF($B$8:B32,B32)=1,1,0))</f>
        <v/>
      </c>
    </row>
    <row r="33">
      <c r="B33" s="32" t="n"/>
      <c r="C33" s="33">
        <f>IF(B33="","",MID("LunMarMiéJueVieSábDom",(WEEKDAY(B33,2)-1)*3+1,3))</f>
        <v/>
      </c>
      <c r="D33" s="29" t="n"/>
      <c r="E33" s="33">
        <f>IF(D33="","",IFERROR(INDEX(Rutina!$D$8:$D$37,MATCH(D33,Rutina!$C$8:$C$37,0)),"¿En la rutina?"))</f>
        <v/>
      </c>
      <c r="F33" s="27" t="n"/>
      <c r="G33" s="27" t="n"/>
      <c r="H33" s="30" t="n"/>
      <c r="I33" s="27" t="n"/>
      <c r="J33" s="18">
        <f>IF(OR(F33="",G33=""),"",F33*G33)</f>
        <v/>
      </c>
      <c r="K33" s="34">
        <f>IF(J33="","",J33*N(H33))</f>
        <v/>
      </c>
      <c r="L33" s="19">
        <f>IF(J33="","",IFERROR(IF(INDEX(Rutina!$I$8:$I$37,MATCH(D33,Rutina!$C$8:$C$37,0))&gt;0,K33/INDEX(Rutina!$K$8:$K$37,MATCH(D33,Rutina!$C$8:$C$37,0)),J33/INDEX(Rutina!$J$8:$J$37,MATCH(D33,Rutina!$C$8:$C$37,0))),""))</f>
        <v/>
      </c>
      <c r="M33" s="33">
        <f>IF(L33="","",IF(L33&gt;1.02,"Superado",IF(L33&gt;=Rutina!$H$5,"Cumplido","Por debajo")))</f>
        <v/>
      </c>
      <c r="N33" s="31">
        <f>IF(OR(J33="",N(H33)=0),"",ROUND(H33*(1+G33/30),1))</f>
        <v/>
      </c>
      <c r="O33" s="29" t="n"/>
      <c r="P33" s="35">
        <f>IF(B33="","",IF(COUNTIF($B$8:B33,B33)=1,1,0))</f>
        <v/>
      </c>
    </row>
    <row r="34">
      <c r="B34" s="32" t="n"/>
      <c r="C34" s="33">
        <f>IF(B34="","",MID("LunMarMiéJueVieSábDom",(WEEKDAY(B34,2)-1)*3+1,3))</f>
        <v/>
      </c>
      <c r="D34" s="29" t="n"/>
      <c r="E34" s="33">
        <f>IF(D34="","",IFERROR(INDEX(Rutina!$D$8:$D$37,MATCH(D34,Rutina!$C$8:$C$37,0)),"¿En la rutina?"))</f>
        <v/>
      </c>
      <c r="F34" s="27" t="n"/>
      <c r="G34" s="27" t="n"/>
      <c r="H34" s="30" t="n"/>
      <c r="I34" s="27" t="n"/>
      <c r="J34" s="18">
        <f>IF(OR(F34="",G34=""),"",F34*G34)</f>
        <v/>
      </c>
      <c r="K34" s="34">
        <f>IF(J34="","",J34*N(H34))</f>
        <v/>
      </c>
      <c r="L34" s="19">
        <f>IF(J34="","",IFERROR(IF(INDEX(Rutina!$I$8:$I$37,MATCH(D34,Rutina!$C$8:$C$37,0))&gt;0,K34/INDEX(Rutina!$K$8:$K$37,MATCH(D34,Rutina!$C$8:$C$37,0)),J34/INDEX(Rutina!$J$8:$J$37,MATCH(D34,Rutina!$C$8:$C$37,0))),""))</f>
        <v/>
      </c>
      <c r="M34" s="33">
        <f>IF(L34="","",IF(L34&gt;1.02,"Superado",IF(L34&gt;=Rutina!$H$5,"Cumplido","Por debajo")))</f>
        <v/>
      </c>
      <c r="N34" s="31">
        <f>IF(OR(J34="",N(H34)=0),"",ROUND(H34*(1+G34/30),1))</f>
        <v/>
      </c>
      <c r="O34" s="29" t="n"/>
      <c r="P34" s="35">
        <f>IF(B34="","",IF(COUNTIF($B$8:B34,B34)=1,1,0))</f>
        <v/>
      </c>
    </row>
    <row r="35">
      <c r="B35" s="32" t="n"/>
      <c r="C35" s="33">
        <f>IF(B35="","",MID("LunMarMiéJueVieSábDom",(WEEKDAY(B35,2)-1)*3+1,3))</f>
        <v/>
      </c>
      <c r="D35" s="29" t="n"/>
      <c r="E35" s="33">
        <f>IF(D35="","",IFERROR(INDEX(Rutina!$D$8:$D$37,MATCH(D35,Rutina!$C$8:$C$37,0)),"¿En la rutina?"))</f>
        <v/>
      </c>
      <c r="F35" s="27" t="n"/>
      <c r="G35" s="27" t="n"/>
      <c r="H35" s="30" t="n"/>
      <c r="I35" s="27" t="n"/>
      <c r="J35" s="18">
        <f>IF(OR(F35="",G35=""),"",F35*G35)</f>
        <v/>
      </c>
      <c r="K35" s="34">
        <f>IF(J35="","",J35*N(H35))</f>
        <v/>
      </c>
      <c r="L35" s="19">
        <f>IF(J35="","",IFERROR(IF(INDEX(Rutina!$I$8:$I$37,MATCH(D35,Rutina!$C$8:$C$37,0))&gt;0,K35/INDEX(Rutina!$K$8:$K$37,MATCH(D35,Rutina!$C$8:$C$37,0)),J35/INDEX(Rutina!$J$8:$J$37,MATCH(D35,Rutina!$C$8:$C$37,0))),""))</f>
        <v/>
      </c>
      <c r="M35" s="33">
        <f>IF(L35="","",IF(L35&gt;1.02,"Superado",IF(L35&gt;=Rutina!$H$5,"Cumplido","Por debajo")))</f>
        <v/>
      </c>
      <c r="N35" s="31">
        <f>IF(OR(J35="",N(H35)=0),"",ROUND(H35*(1+G35/30),1))</f>
        <v/>
      </c>
      <c r="O35" s="29" t="n"/>
      <c r="P35" s="35">
        <f>IF(B35="","",IF(COUNTIF($B$8:B35,B35)=1,1,0))</f>
        <v/>
      </c>
    </row>
    <row r="36">
      <c r="B36" s="32" t="n"/>
      <c r="C36" s="33">
        <f>IF(B36="","",MID("LunMarMiéJueVieSábDom",(WEEKDAY(B36,2)-1)*3+1,3))</f>
        <v/>
      </c>
      <c r="D36" s="29" t="n"/>
      <c r="E36" s="33">
        <f>IF(D36="","",IFERROR(INDEX(Rutina!$D$8:$D$37,MATCH(D36,Rutina!$C$8:$C$37,0)),"¿En la rutina?"))</f>
        <v/>
      </c>
      <c r="F36" s="27" t="n"/>
      <c r="G36" s="27" t="n"/>
      <c r="H36" s="30" t="n"/>
      <c r="I36" s="27" t="n"/>
      <c r="J36" s="18">
        <f>IF(OR(F36="",G36=""),"",F36*G36)</f>
        <v/>
      </c>
      <c r="K36" s="34">
        <f>IF(J36="","",J36*N(H36))</f>
        <v/>
      </c>
      <c r="L36" s="19">
        <f>IF(J36="","",IFERROR(IF(INDEX(Rutina!$I$8:$I$37,MATCH(D36,Rutina!$C$8:$C$37,0))&gt;0,K36/INDEX(Rutina!$K$8:$K$37,MATCH(D36,Rutina!$C$8:$C$37,0)),J36/INDEX(Rutina!$J$8:$J$37,MATCH(D36,Rutina!$C$8:$C$37,0))),""))</f>
        <v/>
      </c>
      <c r="M36" s="33">
        <f>IF(L36="","",IF(L36&gt;1.02,"Superado",IF(L36&gt;=Rutina!$H$5,"Cumplido","Por debajo")))</f>
        <v/>
      </c>
      <c r="N36" s="31">
        <f>IF(OR(J36="",N(H36)=0),"",ROUND(H36*(1+G36/30),1))</f>
        <v/>
      </c>
      <c r="O36" s="29" t="n"/>
      <c r="P36" s="35">
        <f>IF(B36="","",IF(COUNTIF($B$8:B36,B36)=1,1,0))</f>
        <v/>
      </c>
    </row>
    <row r="37">
      <c r="B37" s="32" t="n"/>
      <c r="C37" s="33">
        <f>IF(B37="","",MID("LunMarMiéJueVieSábDom",(WEEKDAY(B37,2)-1)*3+1,3))</f>
        <v/>
      </c>
      <c r="D37" s="29" t="n"/>
      <c r="E37" s="33">
        <f>IF(D37="","",IFERROR(INDEX(Rutina!$D$8:$D$37,MATCH(D37,Rutina!$C$8:$C$37,0)),"¿En la rutina?"))</f>
        <v/>
      </c>
      <c r="F37" s="27" t="n"/>
      <c r="G37" s="27" t="n"/>
      <c r="H37" s="30" t="n"/>
      <c r="I37" s="27" t="n"/>
      <c r="J37" s="18">
        <f>IF(OR(F37="",G37=""),"",F37*G37)</f>
        <v/>
      </c>
      <c r="K37" s="34">
        <f>IF(J37="","",J37*N(H37))</f>
        <v/>
      </c>
      <c r="L37" s="19">
        <f>IF(J37="","",IFERROR(IF(INDEX(Rutina!$I$8:$I$37,MATCH(D37,Rutina!$C$8:$C$37,0))&gt;0,K37/INDEX(Rutina!$K$8:$K$37,MATCH(D37,Rutina!$C$8:$C$37,0)),J37/INDEX(Rutina!$J$8:$J$37,MATCH(D37,Rutina!$C$8:$C$37,0))),""))</f>
        <v/>
      </c>
      <c r="M37" s="33">
        <f>IF(L37="","",IF(L37&gt;1.02,"Superado",IF(L37&gt;=Rutina!$H$5,"Cumplido","Por debajo")))</f>
        <v/>
      </c>
      <c r="N37" s="31">
        <f>IF(OR(J37="",N(H37)=0),"",ROUND(H37*(1+G37/30),1))</f>
        <v/>
      </c>
      <c r="O37" s="29" t="n"/>
      <c r="P37" s="35">
        <f>IF(B37="","",IF(COUNTIF($B$8:B37,B37)=1,1,0))</f>
        <v/>
      </c>
    </row>
    <row r="38">
      <c r="B38" s="32" t="n"/>
      <c r="C38" s="33">
        <f>IF(B38="","",MID("LunMarMiéJueVieSábDom",(WEEKDAY(B38,2)-1)*3+1,3))</f>
        <v/>
      </c>
      <c r="D38" s="29" t="n"/>
      <c r="E38" s="33">
        <f>IF(D38="","",IFERROR(INDEX(Rutina!$D$8:$D$37,MATCH(D38,Rutina!$C$8:$C$37,0)),"¿En la rutina?"))</f>
        <v/>
      </c>
      <c r="F38" s="27" t="n"/>
      <c r="G38" s="27" t="n"/>
      <c r="H38" s="30" t="n"/>
      <c r="I38" s="27" t="n"/>
      <c r="J38" s="18">
        <f>IF(OR(F38="",G38=""),"",F38*G38)</f>
        <v/>
      </c>
      <c r="K38" s="34">
        <f>IF(J38="","",J38*N(H38))</f>
        <v/>
      </c>
      <c r="L38" s="19">
        <f>IF(J38="","",IFERROR(IF(INDEX(Rutina!$I$8:$I$37,MATCH(D38,Rutina!$C$8:$C$37,0))&gt;0,K38/INDEX(Rutina!$K$8:$K$37,MATCH(D38,Rutina!$C$8:$C$37,0)),J38/INDEX(Rutina!$J$8:$J$37,MATCH(D38,Rutina!$C$8:$C$37,0))),""))</f>
        <v/>
      </c>
      <c r="M38" s="33">
        <f>IF(L38="","",IF(L38&gt;1.02,"Superado",IF(L38&gt;=Rutina!$H$5,"Cumplido","Por debajo")))</f>
        <v/>
      </c>
      <c r="N38" s="31">
        <f>IF(OR(J38="",N(H38)=0),"",ROUND(H38*(1+G38/30),1))</f>
        <v/>
      </c>
      <c r="O38" s="29" t="n"/>
      <c r="P38" s="35">
        <f>IF(B38="","",IF(COUNTIF($B$8:B38,B38)=1,1,0))</f>
        <v/>
      </c>
    </row>
    <row r="39">
      <c r="B39" s="32" t="n"/>
      <c r="C39" s="33">
        <f>IF(B39="","",MID("LunMarMiéJueVieSábDom",(WEEKDAY(B39,2)-1)*3+1,3))</f>
        <v/>
      </c>
      <c r="D39" s="29" t="n"/>
      <c r="E39" s="33">
        <f>IF(D39="","",IFERROR(INDEX(Rutina!$D$8:$D$37,MATCH(D39,Rutina!$C$8:$C$37,0)),"¿En la rutina?"))</f>
        <v/>
      </c>
      <c r="F39" s="27" t="n"/>
      <c r="G39" s="27" t="n"/>
      <c r="H39" s="30" t="n"/>
      <c r="I39" s="27" t="n"/>
      <c r="J39" s="18">
        <f>IF(OR(F39="",G39=""),"",F39*G39)</f>
        <v/>
      </c>
      <c r="K39" s="34">
        <f>IF(J39="","",J39*N(H39))</f>
        <v/>
      </c>
      <c r="L39" s="19">
        <f>IF(J39="","",IFERROR(IF(INDEX(Rutina!$I$8:$I$37,MATCH(D39,Rutina!$C$8:$C$37,0))&gt;0,K39/INDEX(Rutina!$K$8:$K$37,MATCH(D39,Rutina!$C$8:$C$37,0)),J39/INDEX(Rutina!$J$8:$J$37,MATCH(D39,Rutina!$C$8:$C$37,0))),""))</f>
        <v/>
      </c>
      <c r="M39" s="33">
        <f>IF(L39="","",IF(L39&gt;1.02,"Superado",IF(L39&gt;=Rutina!$H$5,"Cumplido","Por debajo")))</f>
        <v/>
      </c>
      <c r="N39" s="31">
        <f>IF(OR(J39="",N(H39)=0),"",ROUND(H39*(1+G39/30),1))</f>
        <v/>
      </c>
      <c r="O39" s="29" t="n"/>
      <c r="P39" s="35">
        <f>IF(B39="","",IF(COUNTIF($B$8:B39,B39)=1,1,0))</f>
        <v/>
      </c>
    </row>
    <row r="40">
      <c r="B40" s="32" t="n"/>
      <c r="C40" s="33">
        <f>IF(B40="","",MID("LunMarMiéJueVieSábDom",(WEEKDAY(B40,2)-1)*3+1,3))</f>
        <v/>
      </c>
      <c r="D40" s="29" t="n"/>
      <c r="E40" s="33">
        <f>IF(D40="","",IFERROR(INDEX(Rutina!$D$8:$D$37,MATCH(D40,Rutina!$C$8:$C$37,0)),"¿En la rutina?"))</f>
        <v/>
      </c>
      <c r="F40" s="27" t="n"/>
      <c r="G40" s="27" t="n"/>
      <c r="H40" s="30" t="n"/>
      <c r="I40" s="27" t="n"/>
      <c r="J40" s="18">
        <f>IF(OR(F40="",G40=""),"",F40*G40)</f>
        <v/>
      </c>
      <c r="K40" s="34">
        <f>IF(J40="","",J40*N(H40))</f>
        <v/>
      </c>
      <c r="L40" s="19">
        <f>IF(J40="","",IFERROR(IF(INDEX(Rutina!$I$8:$I$37,MATCH(D40,Rutina!$C$8:$C$37,0))&gt;0,K40/INDEX(Rutina!$K$8:$K$37,MATCH(D40,Rutina!$C$8:$C$37,0)),J40/INDEX(Rutina!$J$8:$J$37,MATCH(D40,Rutina!$C$8:$C$37,0))),""))</f>
        <v/>
      </c>
      <c r="M40" s="33">
        <f>IF(L40="","",IF(L40&gt;1.02,"Superado",IF(L40&gt;=Rutina!$H$5,"Cumplido","Por debajo")))</f>
        <v/>
      </c>
      <c r="N40" s="31">
        <f>IF(OR(J40="",N(H40)=0),"",ROUND(H40*(1+G40/30),1))</f>
        <v/>
      </c>
      <c r="O40" s="29" t="n"/>
      <c r="P40" s="35">
        <f>IF(B40="","",IF(COUNTIF($B$8:B40,B40)=1,1,0))</f>
        <v/>
      </c>
    </row>
    <row r="41">
      <c r="B41" s="32" t="n"/>
      <c r="C41" s="33">
        <f>IF(B41="","",MID("LunMarMiéJueVieSábDom",(WEEKDAY(B41,2)-1)*3+1,3))</f>
        <v/>
      </c>
      <c r="D41" s="29" t="n"/>
      <c r="E41" s="33">
        <f>IF(D41="","",IFERROR(INDEX(Rutina!$D$8:$D$37,MATCH(D41,Rutina!$C$8:$C$37,0)),"¿En la rutina?"))</f>
        <v/>
      </c>
      <c r="F41" s="27" t="n"/>
      <c r="G41" s="27" t="n"/>
      <c r="H41" s="30" t="n"/>
      <c r="I41" s="27" t="n"/>
      <c r="J41" s="18">
        <f>IF(OR(F41="",G41=""),"",F41*G41)</f>
        <v/>
      </c>
      <c r="K41" s="34">
        <f>IF(J41="","",J41*N(H41))</f>
        <v/>
      </c>
      <c r="L41" s="19">
        <f>IF(J41="","",IFERROR(IF(INDEX(Rutina!$I$8:$I$37,MATCH(D41,Rutina!$C$8:$C$37,0))&gt;0,K41/INDEX(Rutina!$K$8:$K$37,MATCH(D41,Rutina!$C$8:$C$37,0)),J41/INDEX(Rutina!$J$8:$J$37,MATCH(D41,Rutina!$C$8:$C$37,0))),""))</f>
        <v/>
      </c>
      <c r="M41" s="33">
        <f>IF(L41="","",IF(L41&gt;1.02,"Superado",IF(L41&gt;=Rutina!$H$5,"Cumplido","Por debajo")))</f>
        <v/>
      </c>
      <c r="N41" s="31">
        <f>IF(OR(J41="",N(H41)=0),"",ROUND(H41*(1+G41/30),1))</f>
        <v/>
      </c>
      <c r="O41" s="29" t="n"/>
      <c r="P41" s="35">
        <f>IF(B41="","",IF(COUNTIF($B$8:B41,B41)=1,1,0))</f>
        <v/>
      </c>
    </row>
    <row r="42">
      <c r="B42" s="32" t="n"/>
      <c r="C42" s="33">
        <f>IF(B42="","",MID("LunMarMiéJueVieSábDom",(WEEKDAY(B42,2)-1)*3+1,3))</f>
        <v/>
      </c>
      <c r="D42" s="29" t="n"/>
      <c r="E42" s="33">
        <f>IF(D42="","",IFERROR(INDEX(Rutina!$D$8:$D$37,MATCH(D42,Rutina!$C$8:$C$37,0)),"¿En la rutina?"))</f>
        <v/>
      </c>
      <c r="F42" s="27" t="n"/>
      <c r="G42" s="27" t="n"/>
      <c r="H42" s="30" t="n"/>
      <c r="I42" s="27" t="n"/>
      <c r="J42" s="18">
        <f>IF(OR(F42="",G42=""),"",F42*G42)</f>
        <v/>
      </c>
      <c r="K42" s="34">
        <f>IF(J42="","",J42*N(H42))</f>
        <v/>
      </c>
      <c r="L42" s="19">
        <f>IF(J42="","",IFERROR(IF(INDEX(Rutina!$I$8:$I$37,MATCH(D42,Rutina!$C$8:$C$37,0))&gt;0,K42/INDEX(Rutina!$K$8:$K$37,MATCH(D42,Rutina!$C$8:$C$37,0)),J42/INDEX(Rutina!$J$8:$J$37,MATCH(D42,Rutina!$C$8:$C$37,0))),""))</f>
        <v/>
      </c>
      <c r="M42" s="33">
        <f>IF(L42="","",IF(L42&gt;1.02,"Superado",IF(L42&gt;=Rutina!$H$5,"Cumplido","Por debajo")))</f>
        <v/>
      </c>
      <c r="N42" s="31">
        <f>IF(OR(J42="",N(H42)=0),"",ROUND(H42*(1+G42/30),1))</f>
        <v/>
      </c>
      <c r="O42" s="29" t="n"/>
      <c r="P42" s="35">
        <f>IF(B42="","",IF(COUNTIF($B$8:B42,B42)=1,1,0))</f>
        <v/>
      </c>
    </row>
    <row r="43">
      <c r="B43" s="32" t="n"/>
      <c r="C43" s="33">
        <f>IF(B43="","",MID("LunMarMiéJueVieSábDom",(WEEKDAY(B43,2)-1)*3+1,3))</f>
        <v/>
      </c>
      <c r="D43" s="29" t="n"/>
      <c r="E43" s="33">
        <f>IF(D43="","",IFERROR(INDEX(Rutina!$D$8:$D$37,MATCH(D43,Rutina!$C$8:$C$37,0)),"¿En la rutina?"))</f>
        <v/>
      </c>
      <c r="F43" s="27" t="n"/>
      <c r="G43" s="27" t="n"/>
      <c r="H43" s="30" t="n"/>
      <c r="I43" s="27" t="n"/>
      <c r="J43" s="18">
        <f>IF(OR(F43="",G43=""),"",F43*G43)</f>
        <v/>
      </c>
      <c r="K43" s="34">
        <f>IF(J43="","",J43*N(H43))</f>
        <v/>
      </c>
      <c r="L43" s="19">
        <f>IF(J43="","",IFERROR(IF(INDEX(Rutina!$I$8:$I$37,MATCH(D43,Rutina!$C$8:$C$37,0))&gt;0,K43/INDEX(Rutina!$K$8:$K$37,MATCH(D43,Rutina!$C$8:$C$37,0)),J43/INDEX(Rutina!$J$8:$J$37,MATCH(D43,Rutina!$C$8:$C$37,0))),""))</f>
        <v/>
      </c>
      <c r="M43" s="33">
        <f>IF(L43="","",IF(L43&gt;1.02,"Superado",IF(L43&gt;=Rutina!$H$5,"Cumplido","Por debajo")))</f>
        <v/>
      </c>
      <c r="N43" s="31">
        <f>IF(OR(J43="",N(H43)=0),"",ROUND(H43*(1+G43/30),1))</f>
        <v/>
      </c>
      <c r="O43" s="29" t="n"/>
      <c r="P43" s="35">
        <f>IF(B43="","",IF(COUNTIF($B$8:B43,B43)=1,1,0))</f>
        <v/>
      </c>
    </row>
    <row r="44">
      <c r="B44" s="32" t="n"/>
      <c r="C44" s="33">
        <f>IF(B44="","",MID("LunMarMiéJueVieSábDom",(WEEKDAY(B44,2)-1)*3+1,3))</f>
        <v/>
      </c>
      <c r="D44" s="29" t="n"/>
      <c r="E44" s="33">
        <f>IF(D44="","",IFERROR(INDEX(Rutina!$D$8:$D$37,MATCH(D44,Rutina!$C$8:$C$37,0)),"¿En la rutina?"))</f>
        <v/>
      </c>
      <c r="F44" s="27" t="n"/>
      <c r="G44" s="27" t="n"/>
      <c r="H44" s="30" t="n"/>
      <c r="I44" s="27" t="n"/>
      <c r="J44" s="18">
        <f>IF(OR(F44="",G44=""),"",F44*G44)</f>
        <v/>
      </c>
      <c r="K44" s="34">
        <f>IF(J44="","",J44*N(H44))</f>
        <v/>
      </c>
      <c r="L44" s="19">
        <f>IF(J44="","",IFERROR(IF(INDEX(Rutina!$I$8:$I$37,MATCH(D44,Rutina!$C$8:$C$37,0))&gt;0,K44/INDEX(Rutina!$K$8:$K$37,MATCH(D44,Rutina!$C$8:$C$37,0)),J44/INDEX(Rutina!$J$8:$J$37,MATCH(D44,Rutina!$C$8:$C$37,0))),""))</f>
        <v/>
      </c>
      <c r="M44" s="33">
        <f>IF(L44="","",IF(L44&gt;1.02,"Superado",IF(L44&gt;=Rutina!$H$5,"Cumplido","Por debajo")))</f>
        <v/>
      </c>
      <c r="N44" s="31">
        <f>IF(OR(J44="",N(H44)=0),"",ROUND(H44*(1+G44/30),1))</f>
        <v/>
      </c>
      <c r="O44" s="29" t="n"/>
      <c r="P44" s="35">
        <f>IF(B44="","",IF(COUNTIF($B$8:B44,B44)=1,1,0))</f>
        <v/>
      </c>
    </row>
    <row r="45">
      <c r="B45" s="32" t="n"/>
      <c r="C45" s="33">
        <f>IF(B45="","",MID("LunMarMiéJueVieSábDom",(WEEKDAY(B45,2)-1)*3+1,3))</f>
        <v/>
      </c>
      <c r="D45" s="29" t="n"/>
      <c r="E45" s="33">
        <f>IF(D45="","",IFERROR(INDEX(Rutina!$D$8:$D$37,MATCH(D45,Rutina!$C$8:$C$37,0)),"¿En la rutina?"))</f>
        <v/>
      </c>
      <c r="F45" s="27" t="n"/>
      <c r="G45" s="27" t="n"/>
      <c r="H45" s="30" t="n"/>
      <c r="I45" s="27" t="n"/>
      <c r="J45" s="18">
        <f>IF(OR(F45="",G45=""),"",F45*G45)</f>
        <v/>
      </c>
      <c r="K45" s="34">
        <f>IF(J45="","",J45*N(H45))</f>
        <v/>
      </c>
      <c r="L45" s="19">
        <f>IF(J45="","",IFERROR(IF(INDEX(Rutina!$I$8:$I$37,MATCH(D45,Rutina!$C$8:$C$37,0))&gt;0,K45/INDEX(Rutina!$K$8:$K$37,MATCH(D45,Rutina!$C$8:$C$37,0)),J45/INDEX(Rutina!$J$8:$J$37,MATCH(D45,Rutina!$C$8:$C$37,0))),""))</f>
        <v/>
      </c>
      <c r="M45" s="33">
        <f>IF(L45="","",IF(L45&gt;1.02,"Superado",IF(L45&gt;=Rutina!$H$5,"Cumplido","Por debajo")))</f>
        <v/>
      </c>
      <c r="N45" s="31">
        <f>IF(OR(J45="",N(H45)=0),"",ROUND(H45*(1+G45/30),1))</f>
        <v/>
      </c>
      <c r="O45" s="29" t="n"/>
      <c r="P45" s="35">
        <f>IF(B45="","",IF(COUNTIF($B$8:B45,B45)=1,1,0))</f>
        <v/>
      </c>
    </row>
    <row r="46">
      <c r="B46" s="32" t="n"/>
      <c r="C46" s="33">
        <f>IF(B46="","",MID("LunMarMiéJueVieSábDom",(WEEKDAY(B46,2)-1)*3+1,3))</f>
        <v/>
      </c>
      <c r="D46" s="29" t="n"/>
      <c r="E46" s="33">
        <f>IF(D46="","",IFERROR(INDEX(Rutina!$D$8:$D$37,MATCH(D46,Rutina!$C$8:$C$37,0)),"¿En la rutina?"))</f>
        <v/>
      </c>
      <c r="F46" s="27" t="n"/>
      <c r="G46" s="27" t="n"/>
      <c r="H46" s="30" t="n"/>
      <c r="I46" s="27" t="n"/>
      <c r="J46" s="18">
        <f>IF(OR(F46="",G46=""),"",F46*G46)</f>
        <v/>
      </c>
      <c r="K46" s="34">
        <f>IF(J46="","",J46*N(H46))</f>
        <v/>
      </c>
      <c r="L46" s="19">
        <f>IF(J46="","",IFERROR(IF(INDEX(Rutina!$I$8:$I$37,MATCH(D46,Rutina!$C$8:$C$37,0))&gt;0,K46/INDEX(Rutina!$K$8:$K$37,MATCH(D46,Rutina!$C$8:$C$37,0)),J46/INDEX(Rutina!$J$8:$J$37,MATCH(D46,Rutina!$C$8:$C$37,0))),""))</f>
        <v/>
      </c>
      <c r="M46" s="33">
        <f>IF(L46="","",IF(L46&gt;1.02,"Superado",IF(L46&gt;=Rutina!$H$5,"Cumplido","Por debajo")))</f>
        <v/>
      </c>
      <c r="N46" s="31">
        <f>IF(OR(J46="",N(H46)=0),"",ROUND(H46*(1+G46/30),1))</f>
        <v/>
      </c>
      <c r="O46" s="29" t="n"/>
      <c r="P46" s="35">
        <f>IF(B46="","",IF(COUNTIF($B$8:B46,B46)=1,1,0))</f>
        <v/>
      </c>
    </row>
    <row r="47">
      <c r="B47" s="32" t="n"/>
      <c r="C47" s="33">
        <f>IF(B47="","",MID("LunMarMiéJueVieSábDom",(WEEKDAY(B47,2)-1)*3+1,3))</f>
        <v/>
      </c>
      <c r="D47" s="29" t="n"/>
      <c r="E47" s="33">
        <f>IF(D47="","",IFERROR(INDEX(Rutina!$D$8:$D$37,MATCH(D47,Rutina!$C$8:$C$37,0)),"¿En la rutina?"))</f>
        <v/>
      </c>
      <c r="F47" s="27" t="n"/>
      <c r="G47" s="27" t="n"/>
      <c r="H47" s="30" t="n"/>
      <c r="I47" s="27" t="n"/>
      <c r="J47" s="18">
        <f>IF(OR(F47="",G47=""),"",F47*G47)</f>
        <v/>
      </c>
      <c r="K47" s="34">
        <f>IF(J47="","",J47*N(H47))</f>
        <v/>
      </c>
      <c r="L47" s="19">
        <f>IF(J47="","",IFERROR(IF(INDEX(Rutina!$I$8:$I$37,MATCH(D47,Rutina!$C$8:$C$37,0))&gt;0,K47/INDEX(Rutina!$K$8:$K$37,MATCH(D47,Rutina!$C$8:$C$37,0)),J47/INDEX(Rutina!$J$8:$J$37,MATCH(D47,Rutina!$C$8:$C$37,0))),""))</f>
        <v/>
      </c>
      <c r="M47" s="33">
        <f>IF(L47="","",IF(L47&gt;1.02,"Superado",IF(L47&gt;=Rutina!$H$5,"Cumplido","Por debajo")))</f>
        <v/>
      </c>
      <c r="N47" s="31">
        <f>IF(OR(J47="",N(H47)=0),"",ROUND(H47*(1+G47/30),1))</f>
        <v/>
      </c>
      <c r="O47" s="29" t="n"/>
      <c r="P47" s="35">
        <f>IF(B47="","",IF(COUNTIF($B$8:B47,B47)=1,1,0))</f>
        <v/>
      </c>
    </row>
    <row r="48">
      <c r="B48" s="32" t="n"/>
      <c r="C48" s="33">
        <f>IF(B48="","",MID("LunMarMiéJueVieSábDom",(WEEKDAY(B48,2)-1)*3+1,3))</f>
        <v/>
      </c>
      <c r="D48" s="29" t="n"/>
      <c r="E48" s="33">
        <f>IF(D48="","",IFERROR(INDEX(Rutina!$D$8:$D$37,MATCH(D48,Rutina!$C$8:$C$37,0)),"¿En la rutina?"))</f>
        <v/>
      </c>
      <c r="F48" s="27" t="n"/>
      <c r="G48" s="27" t="n"/>
      <c r="H48" s="30" t="n"/>
      <c r="I48" s="27" t="n"/>
      <c r="J48" s="18">
        <f>IF(OR(F48="",G48=""),"",F48*G48)</f>
        <v/>
      </c>
      <c r="K48" s="34">
        <f>IF(J48="","",J48*N(H48))</f>
        <v/>
      </c>
      <c r="L48" s="19">
        <f>IF(J48="","",IFERROR(IF(INDEX(Rutina!$I$8:$I$37,MATCH(D48,Rutina!$C$8:$C$37,0))&gt;0,K48/INDEX(Rutina!$K$8:$K$37,MATCH(D48,Rutina!$C$8:$C$37,0)),J48/INDEX(Rutina!$J$8:$J$37,MATCH(D48,Rutina!$C$8:$C$37,0))),""))</f>
        <v/>
      </c>
      <c r="M48" s="33">
        <f>IF(L48="","",IF(L48&gt;1.02,"Superado",IF(L48&gt;=Rutina!$H$5,"Cumplido","Por debajo")))</f>
        <v/>
      </c>
      <c r="N48" s="31">
        <f>IF(OR(J48="",N(H48)=0),"",ROUND(H48*(1+G48/30),1))</f>
        <v/>
      </c>
      <c r="O48" s="29" t="n"/>
      <c r="P48" s="35">
        <f>IF(B48="","",IF(COUNTIF($B$8:B48,B48)=1,1,0))</f>
        <v/>
      </c>
    </row>
    <row r="49">
      <c r="B49" s="32" t="n"/>
      <c r="C49" s="33">
        <f>IF(B49="","",MID("LunMarMiéJueVieSábDom",(WEEKDAY(B49,2)-1)*3+1,3))</f>
        <v/>
      </c>
      <c r="D49" s="29" t="n"/>
      <c r="E49" s="33">
        <f>IF(D49="","",IFERROR(INDEX(Rutina!$D$8:$D$37,MATCH(D49,Rutina!$C$8:$C$37,0)),"¿En la rutina?"))</f>
        <v/>
      </c>
      <c r="F49" s="27" t="n"/>
      <c r="G49" s="27" t="n"/>
      <c r="H49" s="30" t="n"/>
      <c r="I49" s="27" t="n"/>
      <c r="J49" s="18">
        <f>IF(OR(F49="",G49=""),"",F49*G49)</f>
        <v/>
      </c>
      <c r="K49" s="34">
        <f>IF(J49="","",J49*N(H49))</f>
        <v/>
      </c>
      <c r="L49" s="19">
        <f>IF(J49="","",IFERROR(IF(INDEX(Rutina!$I$8:$I$37,MATCH(D49,Rutina!$C$8:$C$37,0))&gt;0,K49/INDEX(Rutina!$K$8:$K$37,MATCH(D49,Rutina!$C$8:$C$37,0)),J49/INDEX(Rutina!$J$8:$J$37,MATCH(D49,Rutina!$C$8:$C$37,0))),""))</f>
        <v/>
      </c>
      <c r="M49" s="33">
        <f>IF(L49="","",IF(L49&gt;1.02,"Superado",IF(L49&gt;=Rutina!$H$5,"Cumplido","Por debajo")))</f>
        <v/>
      </c>
      <c r="N49" s="31">
        <f>IF(OR(J49="",N(H49)=0),"",ROUND(H49*(1+G49/30),1))</f>
        <v/>
      </c>
      <c r="O49" s="29" t="n"/>
      <c r="P49" s="35">
        <f>IF(B49="","",IF(COUNTIF($B$8:B49,B49)=1,1,0))</f>
        <v/>
      </c>
    </row>
    <row r="50">
      <c r="B50" s="32" t="n"/>
      <c r="C50" s="33">
        <f>IF(B50="","",MID("LunMarMiéJueVieSábDom",(WEEKDAY(B50,2)-1)*3+1,3))</f>
        <v/>
      </c>
      <c r="D50" s="29" t="n"/>
      <c r="E50" s="33">
        <f>IF(D50="","",IFERROR(INDEX(Rutina!$D$8:$D$37,MATCH(D50,Rutina!$C$8:$C$37,0)),"¿En la rutina?"))</f>
        <v/>
      </c>
      <c r="F50" s="27" t="n"/>
      <c r="G50" s="27" t="n"/>
      <c r="H50" s="30" t="n"/>
      <c r="I50" s="27" t="n"/>
      <c r="J50" s="18">
        <f>IF(OR(F50="",G50=""),"",F50*G50)</f>
        <v/>
      </c>
      <c r="K50" s="34">
        <f>IF(J50="","",J50*N(H50))</f>
        <v/>
      </c>
      <c r="L50" s="19">
        <f>IF(J50="","",IFERROR(IF(INDEX(Rutina!$I$8:$I$37,MATCH(D50,Rutina!$C$8:$C$37,0))&gt;0,K50/INDEX(Rutina!$K$8:$K$37,MATCH(D50,Rutina!$C$8:$C$37,0)),J50/INDEX(Rutina!$J$8:$J$37,MATCH(D50,Rutina!$C$8:$C$37,0))),""))</f>
        <v/>
      </c>
      <c r="M50" s="33">
        <f>IF(L50="","",IF(L50&gt;1.02,"Superado",IF(L50&gt;=Rutina!$H$5,"Cumplido","Por debajo")))</f>
        <v/>
      </c>
      <c r="N50" s="31">
        <f>IF(OR(J50="",N(H50)=0),"",ROUND(H50*(1+G50/30),1))</f>
        <v/>
      </c>
      <c r="O50" s="29" t="n"/>
      <c r="P50" s="35">
        <f>IF(B50="","",IF(COUNTIF($B$8:B50,B50)=1,1,0))</f>
        <v/>
      </c>
    </row>
    <row r="51">
      <c r="B51" s="32" t="n"/>
      <c r="C51" s="33">
        <f>IF(B51="","",MID("LunMarMiéJueVieSábDom",(WEEKDAY(B51,2)-1)*3+1,3))</f>
        <v/>
      </c>
      <c r="D51" s="29" t="n"/>
      <c r="E51" s="33">
        <f>IF(D51="","",IFERROR(INDEX(Rutina!$D$8:$D$37,MATCH(D51,Rutina!$C$8:$C$37,0)),"¿En la rutina?"))</f>
        <v/>
      </c>
      <c r="F51" s="27" t="n"/>
      <c r="G51" s="27" t="n"/>
      <c r="H51" s="30" t="n"/>
      <c r="I51" s="27" t="n"/>
      <c r="J51" s="18">
        <f>IF(OR(F51="",G51=""),"",F51*G51)</f>
        <v/>
      </c>
      <c r="K51" s="34">
        <f>IF(J51="","",J51*N(H51))</f>
        <v/>
      </c>
      <c r="L51" s="19">
        <f>IF(J51="","",IFERROR(IF(INDEX(Rutina!$I$8:$I$37,MATCH(D51,Rutina!$C$8:$C$37,0))&gt;0,K51/INDEX(Rutina!$K$8:$K$37,MATCH(D51,Rutina!$C$8:$C$37,0)),J51/INDEX(Rutina!$J$8:$J$37,MATCH(D51,Rutina!$C$8:$C$37,0))),""))</f>
        <v/>
      </c>
      <c r="M51" s="33">
        <f>IF(L51="","",IF(L51&gt;1.02,"Superado",IF(L51&gt;=Rutina!$H$5,"Cumplido","Por debajo")))</f>
        <v/>
      </c>
      <c r="N51" s="31">
        <f>IF(OR(J51="",N(H51)=0),"",ROUND(H51*(1+G51/30),1))</f>
        <v/>
      </c>
      <c r="O51" s="29" t="n"/>
      <c r="P51" s="35">
        <f>IF(B51="","",IF(COUNTIF($B$8:B51,B51)=1,1,0))</f>
        <v/>
      </c>
    </row>
    <row r="52">
      <c r="B52" s="32" t="n"/>
      <c r="C52" s="33">
        <f>IF(B52="","",MID("LunMarMiéJueVieSábDom",(WEEKDAY(B52,2)-1)*3+1,3))</f>
        <v/>
      </c>
      <c r="D52" s="29" t="n"/>
      <c r="E52" s="33">
        <f>IF(D52="","",IFERROR(INDEX(Rutina!$D$8:$D$37,MATCH(D52,Rutina!$C$8:$C$37,0)),"¿En la rutina?"))</f>
        <v/>
      </c>
      <c r="F52" s="27" t="n"/>
      <c r="G52" s="27" t="n"/>
      <c r="H52" s="30" t="n"/>
      <c r="I52" s="27" t="n"/>
      <c r="J52" s="18">
        <f>IF(OR(F52="",G52=""),"",F52*G52)</f>
        <v/>
      </c>
      <c r="K52" s="34">
        <f>IF(J52="","",J52*N(H52))</f>
        <v/>
      </c>
      <c r="L52" s="19">
        <f>IF(J52="","",IFERROR(IF(INDEX(Rutina!$I$8:$I$37,MATCH(D52,Rutina!$C$8:$C$37,0))&gt;0,K52/INDEX(Rutina!$K$8:$K$37,MATCH(D52,Rutina!$C$8:$C$37,0)),J52/INDEX(Rutina!$J$8:$J$37,MATCH(D52,Rutina!$C$8:$C$37,0))),""))</f>
        <v/>
      </c>
      <c r="M52" s="33">
        <f>IF(L52="","",IF(L52&gt;1.02,"Superado",IF(L52&gt;=Rutina!$H$5,"Cumplido","Por debajo")))</f>
        <v/>
      </c>
      <c r="N52" s="31">
        <f>IF(OR(J52="",N(H52)=0),"",ROUND(H52*(1+G52/30),1))</f>
        <v/>
      </c>
      <c r="O52" s="29" t="n"/>
      <c r="P52" s="35">
        <f>IF(B52="","",IF(COUNTIF($B$8:B52,B52)=1,1,0))</f>
        <v/>
      </c>
    </row>
    <row r="53">
      <c r="B53" s="32" t="n"/>
      <c r="C53" s="33">
        <f>IF(B53="","",MID("LunMarMiéJueVieSábDom",(WEEKDAY(B53,2)-1)*3+1,3))</f>
        <v/>
      </c>
      <c r="D53" s="29" t="n"/>
      <c r="E53" s="33">
        <f>IF(D53="","",IFERROR(INDEX(Rutina!$D$8:$D$37,MATCH(D53,Rutina!$C$8:$C$37,0)),"¿En la rutina?"))</f>
        <v/>
      </c>
      <c r="F53" s="27" t="n"/>
      <c r="G53" s="27" t="n"/>
      <c r="H53" s="30" t="n"/>
      <c r="I53" s="27" t="n"/>
      <c r="J53" s="18">
        <f>IF(OR(F53="",G53=""),"",F53*G53)</f>
        <v/>
      </c>
      <c r="K53" s="34">
        <f>IF(J53="","",J53*N(H53))</f>
        <v/>
      </c>
      <c r="L53" s="19">
        <f>IF(J53="","",IFERROR(IF(INDEX(Rutina!$I$8:$I$37,MATCH(D53,Rutina!$C$8:$C$37,0))&gt;0,K53/INDEX(Rutina!$K$8:$K$37,MATCH(D53,Rutina!$C$8:$C$37,0)),J53/INDEX(Rutina!$J$8:$J$37,MATCH(D53,Rutina!$C$8:$C$37,0))),""))</f>
        <v/>
      </c>
      <c r="M53" s="33">
        <f>IF(L53="","",IF(L53&gt;1.02,"Superado",IF(L53&gt;=Rutina!$H$5,"Cumplido","Por debajo")))</f>
        <v/>
      </c>
      <c r="N53" s="31">
        <f>IF(OR(J53="",N(H53)=0),"",ROUND(H53*(1+G53/30),1))</f>
        <v/>
      </c>
      <c r="O53" s="29" t="n"/>
      <c r="P53" s="35">
        <f>IF(B53="","",IF(COUNTIF($B$8:B53,B53)=1,1,0))</f>
        <v/>
      </c>
    </row>
    <row r="54">
      <c r="B54" s="32" t="n"/>
      <c r="C54" s="33">
        <f>IF(B54="","",MID("LunMarMiéJueVieSábDom",(WEEKDAY(B54,2)-1)*3+1,3))</f>
        <v/>
      </c>
      <c r="D54" s="29" t="n"/>
      <c r="E54" s="33">
        <f>IF(D54="","",IFERROR(INDEX(Rutina!$D$8:$D$37,MATCH(D54,Rutina!$C$8:$C$37,0)),"¿En la rutina?"))</f>
        <v/>
      </c>
      <c r="F54" s="27" t="n"/>
      <c r="G54" s="27" t="n"/>
      <c r="H54" s="30" t="n"/>
      <c r="I54" s="27" t="n"/>
      <c r="J54" s="18">
        <f>IF(OR(F54="",G54=""),"",F54*G54)</f>
        <v/>
      </c>
      <c r="K54" s="34">
        <f>IF(J54="","",J54*N(H54))</f>
        <v/>
      </c>
      <c r="L54" s="19">
        <f>IF(J54="","",IFERROR(IF(INDEX(Rutina!$I$8:$I$37,MATCH(D54,Rutina!$C$8:$C$37,0))&gt;0,K54/INDEX(Rutina!$K$8:$K$37,MATCH(D54,Rutina!$C$8:$C$37,0)),J54/INDEX(Rutina!$J$8:$J$37,MATCH(D54,Rutina!$C$8:$C$37,0))),""))</f>
        <v/>
      </c>
      <c r="M54" s="33">
        <f>IF(L54="","",IF(L54&gt;1.02,"Superado",IF(L54&gt;=Rutina!$H$5,"Cumplido","Por debajo")))</f>
        <v/>
      </c>
      <c r="N54" s="31">
        <f>IF(OR(J54="",N(H54)=0),"",ROUND(H54*(1+G54/30),1))</f>
        <v/>
      </c>
      <c r="O54" s="29" t="n"/>
      <c r="P54" s="35">
        <f>IF(B54="","",IF(COUNTIF($B$8:B54,B54)=1,1,0))</f>
        <v/>
      </c>
    </row>
    <row r="55">
      <c r="B55" s="32" t="n"/>
      <c r="C55" s="33">
        <f>IF(B55="","",MID("LunMarMiéJueVieSábDom",(WEEKDAY(B55,2)-1)*3+1,3))</f>
        <v/>
      </c>
      <c r="D55" s="29" t="n"/>
      <c r="E55" s="33">
        <f>IF(D55="","",IFERROR(INDEX(Rutina!$D$8:$D$37,MATCH(D55,Rutina!$C$8:$C$37,0)),"¿En la rutina?"))</f>
        <v/>
      </c>
      <c r="F55" s="27" t="n"/>
      <c r="G55" s="27" t="n"/>
      <c r="H55" s="30" t="n"/>
      <c r="I55" s="27" t="n"/>
      <c r="J55" s="18">
        <f>IF(OR(F55="",G55=""),"",F55*G55)</f>
        <v/>
      </c>
      <c r="K55" s="34">
        <f>IF(J55="","",J55*N(H55))</f>
        <v/>
      </c>
      <c r="L55" s="19">
        <f>IF(J55="","",IFERROR(IF(INDEX(Rutina!$I$8:$I$37,MATCH(D55,Rutina!$C$8:$C$37,0))&gt;0,K55/INDEX(Rutina!$K$8:$K$37,MATCH(D55,Rutina!$C$8:$C$37,0)),J55/INDEX(Rutina!$J$8:$J$37,MATCH(D55,Rutina!$C$8:$C$37,0))),""))</f>
        <v/>
      </c>
      <c r="M55" s="33">
        <f>IF(L55="","",IF(L55&gt;1.02,"Superado",IF(L55&gt;=Rutina!$H$5,"Cumplido","Por debajo")))</f>
        <v/>
      </c>
      <c r="N55" s="31">
        <f>IF(OR(J55="",N(H55)=0),"",ROUND(H55*(1+G55/30),1))</f>
        <v/>
      </c>
      <c r="O55" s="29" t="n"/>
      <c r="P55" s="35">
        <f>IF(B55="","",IF(COUNTIF($B$8:B55,B55)=1,1,0))</f>
        <v/>
      </c>
    </row>
    <row r="56">
      <c r="B56" s="32" t="n"/>
      <c r="C56" s="33">
        <f>IF(B56="","",MID("LunMarMiéJueVieSábDom",(WEEKDAY(B56,2)-1)*3+1,3))</f>
        <v/>
      </c>
      <c r="D56" s="29" t="n"/>
      <c r="E56" s="33">
        <f>IF(D56="","",IFERROR(INDEX(Rutina!$D$8:$D$37,MATCH(D56,Rutina!$C$8:$C$37,0)),"¿En la rutina?"))</f>
        <v/>
      </c>
      <c r="F56" s="27" t="n"/>
      <c r="G56" s="27" t="n"/>
      <c r="H56" s="30" t="n"/>
      <c r="I56" s="27" t="n"/>
      <c r="J56" s="18">
        <f>IF(OR(F56="",G56=""),"",F56*G56)</f>
        <v/>
      </c>
      <c r="K56" s="34">
        <f>IF(J56="","",J56*N(H56))</f>
        <v/>
      </c>
      <c r="L56" s="19">
        <f>IF(J56="","",IFERROR(IF(INDEX(Rutina!$I$8:$I$37,MATCH(D56,Rutina!$C$8:$C$37,0))&gt;0,K56/INDEX(Rutina!$K$8:$K$37,MATCH(D56,Rutina!$C$8:$C$37,0)),J56/INDEX(Rutina!$J$8:$J$37,MATCH(D56,Rutina!$C$8:$C$37,0))),""))</f>
        <v/>
      </c>
      <c r="M56" s="33">
        <f>IF(L56="","",IF(L56&gt;1.02,"Superado",IF(L56&gt;=Rutina!$H$5,"Cumplido","Por debajo")))</f>
        <v/>
      </c>
      <c r="N56" s="31">
        <f>IF(OR(J56="",N(H56)=0),"",ROUND(H56*(1+G56/30),1))</f>
        <v/>
      </c>
      <c r="O56" s="29" t="n"/>
      <c r="P56" s="35">
        <f>IF(B56="","",IF(COUNTIF($B$8:B56,B56)=1,1,0))</f>
        <v/>
      </c>
    </row>
    <row r="57">
      <c r="B57" s="32" t="n"/>
      <c r="C57" s="33">
        <f>IF(B57="","",MID("LunMarMiéJueVieSábDom",(WEEKDAY(B57,2)-1)*3+1,3))</f>
        <v/>
      </c>
      <c r="D57" s="29" t="n"/>
      <c r="E57" s="33">
        <f>IF(D57="","",IFERROR(INDEX(Rutina!$D$8:$D$37,MATCH(D57,Rutina!$C$8:$C$37,0)),"¿En la rutina?"))</f>
        <v/>
      </c>
      <c r="F57" s="27" t="n"/>
      <c r="G57" s="27" t="n"/>
      <c r="H57" s="30" t="n"/>
      <c r="I57" s="27" t="n"/>
      <c r="J57" s="18">
        <f>IF(OR(F57="",G57=""),"",F57*G57)</f>
        <v/>
      </c>
      <c r="K57" s="34">
        <f>IF(J57="","",J57*N(H57))</f>
        <v/>
      </c>
      <c r="L57" s="19">
        <f>IF(J57="","",IFERROR(IF(INDEX(Rutina!$I$8:$I$37,MATCH(D57,Rutina!$C$8:$C$37,0))&gt;0,K57/INDEX(Rutina!$K$8:$K$37,MATCH(D57,Rutina!$C$8:$C$37,0)),J57/INDEX(Rutina!$J$8:$J$37,MATCH(D57,Rutina!$C$8:$C$37,0))),""))</f>
        <v/>
      </c>
      <c r="M57" s="33">
        <f>IF(L57="","",IF(L57&gt;1.02,"Superado",IF(L57&gt;=Rutina!$H$5,"Cumplido","Por debajo")))</f>
        <v/>
      </c>
      <c r="N57" s="31">
        <f>IF(OR(J57="",N(H57)=0),"",ROUND(H57*(1+G57/30),1))</f>
        <v/>
      </c>
      <c r="O57" s="29" t="n"/>
      <c r="P57" s="35">
        <f>IF(B57="","",IF(COUNTIF($B$8:B57,B57)=1,1,0))</f>
        <v/>
      </c>
    </row>
    <row r="58">
      <c r="B58" s="32" t="n"/>
      <c r="C58" s="33">
        <f>IF(B58="","",MID("LunMarMiéJueVieSábDom",(WEEKDAY(B58,2)-1)*3+1,3))</f>
        <v/>
      </c>
      <c r="D58" s="29" t="n"/>
      <c r="E58" s="33">
        <f>IF(D58="","",IFERROR(INDEX(Rutina!$D$8:$D$37,MATCH(D58,Rutina!$C$8:$C$37,0)),"¿En la rutina?"))</f>
        <v/>
      </c>
      <c r="F58" s="27" t="n"/>
      <c r="G58" s="27" t="n"/>
      <c r="H58" s="30" t="n"/>
      <c r="I58" s="27" t="n"/>
      <c r="J58" s="18">
        <f>IF(OR(F58="",G58=""),"",F58*G58)</f>
        <v/>
      </c>
      <c r="K58" s="34">
        <f>IF(J58="","",J58*N(H58))</f>
        <v/>
      </c>
      <c r="L58" s="19">
        <f>IF(J58="","",IFERROR(IF(INDEX(Rutina!$I$8:$I$37,MATCH(D58,Rutina!$C$8:$C$37,0))&gt;0,K58/INDEX(Rutina!$K$8:$K$37,MATCH(D58,Rutina!$C$8:$C$37,0)),J58/INDEX(Rutina!$J$8:$J$37,MATCH(D58,Rutina!$C$8:$C$37,0))),""))</f>
        <v/>
      </c>
      <c r="M58" s="33">
        <f>IF(L58="","",IF(L58&gt;1.02,"Superado",IF(L58&gt;=Rutina!$H$5,"Cumplido","Por debajo")))</f>
        <v/>
      </c>
      <c r="N58" s="31">
        <f>IF(OR(J58="",N(H58)=0),"",ROUND(H58*(1+G58/30),1))</f>
        <v/>
      </c>
      <c r="O58" s="29" t="n"/>
      <c r="P58" s="35">
        <f>IF(B58="","",IF(COUNTIF($B$8:B58,B58)=1,1,0))</f>
        <v/>
      </c>
    </row>
    <row r="59">
      <c r="B59" s="32" t="n"/>
      <c r="C59" s="33">
        <f>IF(B59="","",MID("LunMarMiéJueVieSábDom",(WEEKDAY(B59,2)-1)*3+1,3))</f>
        <v/>
      </c>
      <c r="D59" s="29" t="n"/>
      <c r="E59" s="33">
        <f>IF(D59="","",IFERROR(INDEX(Rutina!$D$8:$D$37,MATCH(D59,Rutina!$C$8:$C$37,0)),"¿En la rutina?"))</f>
        <v/>
      </c>
      <c r="F59" s="27" t="n"/>
      <c r="G59" s="27" t="n"/>
      <c r="H59" s="30" t="n"/>
      <c r="I59" s="27" t="n"/>
      <c r="J59" s="18">
        <f>IF(OR(F59="",G59=""),"",F59*G59)</f>
        <v/>
      </c>
      <c r="K59" s="34">
        <f>IF(J59="","",J59*N(H59))</f>
        <v/>
      </c>
      <c r="L59" s="19">
        <f>IF(J59="","",IFERROR(IF(INDEX(Rutina!$I$8:$I$37,MATCH(D59,Rutina!$C$8:$C$37,0))&gt;0,K59/INDEX(Rutina!$K$8:$K$37,MATCH(D59,Rutina!$C$8:$C$37,0)),J59/INDEX(Rutina!$J$8:$J$37,MATCH(D59,Rutina!$C$8:$C$37,0))),""))</f>
        <v/>
      </c>
      <c r="M59" s="33">
        <f>IF(L59="","",IF(L59&gt;1.02,"Superado",IF(L59&gt;=Rutina!$H$5,"Cumplido","Por debajo")))</f>
        <v/>
      </c>
      <c r="N59" s="31">
        <f>IF(OR(J59="",N(H59)=0),"",ROUND(H59*(1+G59/30),1))</f>
        <v/>
      </c>
      <c r="O59" s="29" t="n"/>
      <c r="P59" s="35">
        <f>IF(B59="","",IF(COUNTIF($B$8:B59,B59)=1,1,0))</f>
        <v/>
      </c>
    </row>
    <row r="60">
      <c r="B60" s="32" t="n"/>
      <c r="C60" s="33">
        <f>IF(B60="","",MID("LunMarMiéJueVieSábDom",(WEEKDAY(B60,2)-1)*3+1,3))</f>
        <v/>
      </c>
      <c r="D60" s="29" t="n"/>
      <c r="E60" s="33">
        <f>IF(D60="","",IFERROR(INDEX(Rutina!$D$8:$D$37,MATCH(D60,Rutina!$C$8:$C$37,0)),"¿En la rutina?"))</f>
        <v/>
      </c>
      <c r="F60" s="27" t="n"/>
      <c r="G60" s="27" t="n"/>
      <c r="H60" s="30" t="n"/>
      <c r="I60" s="27" t="n"/>
      <c r="J60" s="18">
        <f>IF(OR(F60="",G60=""),"",F60*G60)</f>
        <v/>
      </c>
      <c r="K60" s="34">
        <f>IF(J60="","",J60*N(H60))</f>
        <v/>
      </c>
      <c r="L60" s="19">
        <f>IF(J60="","",IFERROR(IF(INDEX(Rutina!$I$8:$I$37,MATCH(D60,Rutina!$C$8:$C$37,0))&gt;0,K60/INDEX(Rutina!$K$8:$K$37,MATCH(D60,Rutina!$C$8:$C$37,0)),J60/INDEX(Rutina!$J$8:$J$37,MATCH(D60,Rutina!$C$8:$C$37,0))),""))</f>
        <v/>
      </c>
      <c r="M60" s="33">
        <f>IF(L60="","",IF(L60&gt;1.02,"Superado",IF(L60&gt;=Rutina!$H$5,"Cumplido","Por debajo")))</f>
        <v/>
      </c>
      <c r="N60" s="31">
        <f>IF(OR(J60="",N(H60)=0),"",ROUND(H60*(1+G60/30),1))</f>
        <v/>
      </c>
      <c r="O60" s="29" t="n"/>
      <c r="P60" s="35">
        <f>IF(B60="","",IF(COUNTIF($B$8:B60,B60)=1,1,0))</f>
        <v/>
      </c>
    </row>
    <row r="61">
      <c r="B61" s="32" t="n"/>
      <c r="C61" s="33">
        <f>IF(B61="","",MID("LunMarMiéJueVieSábDom",(WEEKDAY(B61,2)-1)*3+1,3))</f>
        <v/>
      </c>
      <c r="D61" s="29" t="n"/>
      <c r="E61" s="33">
        <f>IF(D61="","",IFERROR(INDEX(Rutina!$D$8:$D$37,MATCH(D61,Rutina!$C$8:$C$37,0)),"¿En la rutina?"))</f>
        <v/>
      </c>
      <c r="F61" s="27" t="n"/>
      <c r="G61" s="27" t="n"/>
      <c r="H61" s="30" t="n"/>
      <c r="I61" s="27" t="n"/>
      <c r="J61" s="18">
        <f>IF(OR(F61="",G61=""),"",F61*G61)</f>
        <v/>
      </c>
      <c r="K61" s="34">
        <f>IF(J61="","",J61*N(H61))</f>
        <v/>
      </c>
      <c r="L61" s="19">
        <f>IF(J61="","",IFERROR(IF(INDEX(Rutina!$I$8:$I$37,MATCH(D61,Rutina!$C$8:$C$37,0))&gt;0,K61/INDEX(Rutina!$K$8:$K$37,MATCH(D61,Rutina!$C$8:$C$37,0)),J61/INDEX(Rutina!$J$8:$J$37,MATCH(D61,Rutina!$C$8:$C$37,0))),""))</f>
        <v/>
      </c>
      <c r="M61" s="33">
        <f>IF(L61="","",IF(L61&gt;1.02,"Superado",IF(L61&gt;=Rutina!$H$5,"Cumplido","Por debajo")))</f>
        <v/>
      </c>
      <c r="N61" s="31">
        <f>IF(OR(J61="",N(H61)=0),"",ROUND(H61*(1+G61/30),1))</f>
        <v/>
      </c>
      <c r="O61" s="29" t="n"/>
      <c r="P61" s="35">
        <f>IF(B61="","",IF(COUNTIF($B$8:B61,B61)=1,1,0))</f>
        <v/>
      </c>
    </row>
    <row r="62">
      <c r="B62" s="32" t="n"/>
      <c r="C62" s="33">
        <f>IF(B62="","",MID("LunMarMiéJueVieSábDom",(WEEKDAY(B62,2)-1)*3+1,3))</f>
        <v/>
      </c>
      <c r="D62" s="29" t="n"/>
      <c r="E62" s="33">
        <f>IF(D62="","",IFERROR(INDEX(Rutina!$D$8:$D$37,MATCH(D62,Rutina!$C$8:$C$37,0)),"¿En la rutina?"))</f>
        <v/>
      </c>
      <c r="F62" s="27" t="n"/>
      <c r="G62" s="27" t="n"/>
      <c r="H62" s="30" t="n"/>
      <c r="I62" s="27" t="n"/>
      <c r="J62" s="18">
        <f>IF(OR(F62="",G62=""),"",F62*G62)</f>
        <v/>
      </c>
      <c r="K62" s="34">
        <f>IF(J62="","",J62*N(H62))</f>
        <v/>
      </c>
      <c r="L62" s="19">
        <f>IF(J62="","",IFERROR(IF(INDEX(Rutina!$I$8:$I$37,MATCH(D62,Rutina!$C$8:$C$37,0))&gt;0,K62/INDEX(Rutina!$K$8:$K$37,MATCH(D62,Rutina!$C$8:$C$37,0)),J62/INDEX(Rutina!$J$8:$J$37,MATCH(D62,Rutina!$C$8:$C$37,0))),""))</f>
        <v/>
      </c>
      <c r="M62" s="33">
        <f>IF(L62="","",IF(L62&gt;1.02,"Superado",IF(L62&gt;=Rutina!$H$5,"Cumplido","Por debajo")))</f>
        <v/>
      </c>
      <c r="N62" s="31">
        <f>IF(OR(J62="",N(H62)=0),"",ROUND(H62*(1+G62/30),1))</f>
        <v/>
      </c>
      <c r="O62" s="29" t="n"/>
      <c r="P62" s="35">
        <f>IF(B62="","",IF(COUNTIF($B$8:B62,B62)=1,1,0))</f>
        <v/>
      </c>
    </row>
    <row r="63">
      <c r="B63" s="32" t="n"/>
      <c r="C63" s="33">
        <f>IF(B63="","",MID("LunMarMiéJueVieSábDom",(WEEKDAY(B63,2)-1)*3+1,3))</f>
        <v/>
      </c>
      <c r="D63" s="29" t="n"/>
      <c r="E63" s="33">
        <f>IF(D63="","",IFERROR(INDEX(Rutina!$D$8:$D$37,MATCH(D63,Rutina!$C$8:$C$37,0)),"¿En la rutina?"))</f>
        <v/>
      </c>
      <c r="F63" s="27" t="n"/>
      <c r="G63" s="27" t="n"/>
      <c r="H63" s="30" t="n"/>
      <c r="I63" s="27" t="n"/>
      <c r="J63" s="18">
        <f>IF(OR(F63="",G63=""),"",F63*G63)</f>
        <v/>
      </c>
      <c r="K63" s="34">
        <f>IF(J63="","",J63*N(H63))</f>
        <v/>
      </c>
      <c r="L63" s="19">
        <f>IF(J63="","",IFERROR(IF(INDEX(Rutina!$I$8:$I$37,MATCH(D63,Rutina!$C$8:$C$37,0))&gt;0,K63/INDEX(Rutina!$K$8:$K$37,MATCH(D63,Rutina!$C$8:$C$37,0)),J63/INDEX(Rutina!$J$8:$J$37,MATCH(D63,Rutina!$C$8:$C$37,0))),""))</f>
        <v/>
      </c>
      <c r="M63" s="33">
        <f>IF(L63="","",IF(L63&gt;1.02,"Superado",IF(L63&gt;=Rutina!$H$5,"Cumplido","Por debajo")))</f>
        <v/>
      </c>
      <c r="N63" s="31">
        <f>IF(OR(J63="",N(H63)=0),"",ROUND(H63*(1+G63/30),1))</f>
        <v/>
      </c>
      <c r="O63" s="29" t="n"/>
      <c r="P63" s="35">
        <f>IF(B63="","",IF(COUNTIF($B$8:B63,B63)=1,1,0))</f>
        <v/>
      </c>
    </row>
    <row r="64">
      <c r="B64" s="32" t="n"/>
      <c r="C64" s="33">
        <f>IF(B64="","",MID("LunMarMiéJueVieSábDom",(WEEKDAY(B64,2)-1)*3+1,3))</f>
        <v/>
      </c>
      <c r="D64" s="29" t="n"/>
      <c r="E64" s="33">
        <f>IF(D64="","",IFERROR(INDEX(Rutina!$D$8:$D$37,MATCH(D64,Rutina!$C$8:$C$37,0)),"¿En la rutina?"))</f>
        <v/>
      </c>
      <c r="F64" s="27" t="n"/>
      <c r="G64" s="27" t="n"/>
      <c r="H64" s="30" t="n"/>
      <c r="I64" s="27" t="n"/>
      <c r="J64" s="18">
        <f>IF(OR(F64="",G64=""),"",F64*G64)</f>
        <v/>
      </c>
      <c r="K64" s="34">
        <f>IF(J64="","",J64*N(H64))</f>
        <v/>
      </c>
      <c r="L64" s="19">
        <f>IF(J64="","",IFERROR(IF(INDEX(Rutina!$I$8:$I$37,MATCH(D64,Rutina!$C$8:$C$37,0))&gt;0,K64/INDEX(Rutina!$K$8:$K$37,MATCH(D64,Rutina!$C$8:$C$37,0)),J64/INDEX(Rutina!$J$8:$J$37,MATCH(D64,Rutina!$C$8:$C$37,0))),""))</f>
        <v/>
      </c>
      <c r="M64" s="33">
        <f>IF(L64="","",IF(L64&gt;1.02,"Superado",IF(L64&gt;=Rutina!$H$5,"Cumplido","Por debajo")))</f>
        <v/>
      </c>
      <c r="N64" s="31">
        <f>IF(OR(J64="",N(H64)=0),"",ROUND(H64*(1+G64/30),1))</f>
        <v/>
      </c>
      <c r="O64" s="29" t="n"/>
      <c r="P64" s="35">
        <f>IF(B64="","",IF(COUNTIF($B$8:B64,B64)=1,1,0))</f>
        <v/>
      </c>
    </row>
    <row r="65">
      <c r="B65" s="32" t="n"/>
      <c r="C65" s="33">
        <f>IF(B65="","",MID("LunMarMiéJueVieSábDom",(WEEKDAY(B65,2)-1)*3+1,3))</f>
        <v/>
      </c>
      <c r="D65" s="29" t="n"/>
      <c r="E65" s="33">
        <f>IF(D65="","",IFERROR(INDEX(Rutina!$D$8:$D$37,MATCH(D65,Rutina!$C$8:$C$37,0)),"¿En la rutina?"))</f>
        <v/>
      </c>
      <c r="F65" s="27" t="n"/>
      <c r="G65" s="27" t="n"/>
      <c r="H65" s="30" t="n"/>
      <c r="I65" s="27" t="n"/>
      <c r="J65" s="18">
        <f>IF(OR(F65="",G65=""),"",F65*G65)</f>
        <v/>
      </c>
      <c r="K65" s="34">
        <f>IF(J65="","",J65*N(H65))</f>
        <v/>
      </c>
      <c r="L65" s="19">
        <f>IF(J65="","",IFERROR(IF(INDEX(Rutina!$I$8:$I$37,MATCH(D65,Rutina!$C$8:$C$37,0))&gt;0,K65/INDEX(Rutina!$K$8:$K$37,MATCH(D65,Rutina!$C$8:$C$37,0)),J65/INDEX(Rutina!$J$8:$J$37,MATCH(D65,Rutina!$C$8:$C$37,0))),""))</f>
        <v/>
      </c>
      <c r="M65" s="33">
        <f>IF(L65="","",IF(L65&gt;1.02,"Superado",IF(L65&gt;=Rutina!$H$5,"Cumplido","Por debajo")))</f>
        <v/>
      </c>
      <c r="N65" s="31">
        <f>IF(OR(J65="",N(H65)=0),"",ROUND(H65*(1+G65/30),1))</f>
        <v/>
      </c>
      <c r="O65" s="29" t="n"/>
      <c r="P65" s="35">
        <f>IF(B65="","",IF(COUNTIF($B$8:B65,B65)=1,1,0))</f>
        <v/>
      </c>
    </row>
    <row r="66">
      <c r="B66" s="32" t="n"/>
      <c r="C66" s="33">
        <f>IF(B66="","",MID("LunMarMiéJueVieSábDom",(WEEKDAY(B66,2)-1)*3+1,3))</f>
        <v/>
      </c>
      <c r="D66" s="29" t="n"/>
      <c r="E66" s="33">
        <f>IF(D66="","",IFERROR(INDEX(Rutina!$D$8:$D$37,MATCH(D66,Rutina!$C$8:$C$37,0)),"¿En la rutina?"))</f>
        <v/>
      </c>
      <c r="F66" s="27" t="n"/>
      <c r="G66" s="27" t="n"/>
      <c r="H66" s="30" t="n"/>
      <c r="I66" s="27" t="n"/>
      <c r="J66" s="18">
        <f>IF(OR(F66="",G66=""),"",F66*G66)</f>
        <v/>
      </c>
      <c r="K66" s="34">
        <f>IF(J66="","",J66*N(H66))</f>
        <v/>
      </c>
      <c r="L66" s="19">
        <f>IF(J66="","",IFERROR(IF(INDEX(Rutina!$I$8:$I$37,MATCH(D66,Rutina!$C$8:$C$37,0))&gt;0,K66/INDEX(Rutina!$K$8:$K$37,MATCH(D66,Rutina!$C$8:$C$37,0)),J66/INDEX(Rutina!$J$8:$J$37,MATCH(D66,Rutina!$C$8:$C$37,0))),""))</f>
        <v/>
      </c>
      <c r="M66" s="33">
        <f>IF(L66="","",IF(L66&gt;1.02,"Superado",IF(L66&gt;=Rutina!$H$5,"Cumplido","Por debajo")))</f>
        <v/>
      </c>
      <c r="N66" s="31">
        <f>IF(OR(J66="",N(H66)=0),"",ROUND(H66*(1+G66/30),1))</f>
        <v/>
      </c>
      <c r="O66" s="29" t="n"/>
      <c r="P66" s="35">
        <f>IF(B66="","",IF(COUNTIF($B$8:B66,B66)=1,1,0))</f>
        <v/>
      </c>
    </row>
    <row r="67">
      <c r="B67" s="32" t="n"/>
      <c r="C67" s="33">
        <f>IF(B67="","",MID("LunMarMiéJueVieSábDom",(WEEKDAY(B67,2)-1)*3+1,3))</f>
        <v/>
      </c>
      <c r="D67" s="29" t="n"/>
      <c r="E67" s="33">
        <f>IF(D67="","",IFERROR(INDEX(Rutina!$D$8:$D$37,MATCH(D67,Rutina!$C$8:$C$37,0)),"¿En la rutina?"))</f>
        <v/>
      </c>
      <c r="F67" s="27" t="n"/>
      <c r="G67" s="27" t="n"/>
      <c r="H67" s="30" t="n"/>
      <c r="I67" s="27" t="n"/>
      <c r="J67" s="18">
        <f>IF(OR(F67="",G67=""),"",F67*G67)</f>
        <v/>
      </c>
      <c r="K67" s="34">
        <f>IF(J67="","",J67*N(H67))</f>
        <v/>
      </c>
      <c r="L67" s="19">
        <f>IF(J67="","",IFERROR(IF(INDEX(Rutina!$I$8:$I$37,MATCH(D67,Rutina!$C$8:$C$37,0))&gt;0,K67/INDEX(Rutina!$K$8:$K$37,MATCH(D67,Rutina!$C$8:$C$37,0)),J67/INDEX(Rutina!$J$8:$J$37,MATCH(D67,Rutina!$C$8:$C$37,0))),""))</f>
        <v/>
      </c>
      <c r="M67" s="33">
        <f>IF(L67="","",IF(L67&gt;1.02,"Superado",IF(L67&gt;=Rutina!$H$5,"Cumplido","Por debajo")))</f>
        <v/>
      </c>
      <c r="N67" s="31">
        <f>IF(OR(J67="",N(H67)=0),"",ROUND(H67*(1+G67/30),1))</f>
        <v/>
      </c>
      <c r="O67" s="29" t="n"/>
      <c r="P67" s="35">
        <f>IF(B67="","",IF(COUNTIF($B$8:B67,B67)=1,1,0))</f>
        <v/>
      </c>
    </row>
    <row r="68">
      <c r="B68" s="32" t="n"/>
      <c r="C68" s="33">
        <f>IF(B68="","",MID("LunMarMiéJueVieSábDom",(WEEKDAY(B68,2)-1)*3+1,3))</f>
        <v/>
      </c>
      <c r="D68" s="29" t="n"/>
      <c r="E68" s="33">
        <f>IF(D68="","",IFERROR(INDEX(Rutina!$D$8:$D$37,MATCH(D68,Rutina!$C$8:$C$37,0)),"¿En la rutina?"))</f>
        <v/>
      </c>
      <c r="F68" s="27" t="n"/>
      <c r="G68" s="27" t="n"/>
      <c r="H68" s="30" t="n"/>
      <c r="I68" s="27" t="n"/>
      <c r="J68" s="18">
        <f>IF(OR(F68="",G68=""),"",F68*G68)</f>
        <v/>
      </c>
      <c r="K68" s="34">
        <f>IF(J68="","",J68*N(H68))</f>
        <v/>
      </c>
      <c r="L68" s="19">
        <f>IF(J68="","",IFERROR(IF(INDEX(Rutina!$I$8:$I$37,MATCH(D68,Rutina!$C$8:$C$37,0))&gt;0,K68/INDEX(Rutina!$K$8:$K$37,MATCH(D68,Rutina!$C$8:$C$37,0)),J68/INDEX(Rutina!$J$8:$J$37,MATCH(D68,Rutina!$C$8:$C$37,0))),""))</f>
        <v/>
      </c>
      <c r="M68" s="33">
        <f>IF(L68="","",IF(L68&gt;1.02,"Superado",IF(L68&gt;=Rutina!$H$5,"Cumplido","Por debajo")))</f>
        <v/>
      </c>
      <c r="N68" s="31">
        <f>IF(OR(J68="",N(H68)=0),"",ROUND(H68*(1+G68/30),1))</f>
        <v/>
      </c>
      <c r="O68" s="29" t="n"/>
      <c r="P68" s="35">
        <f>IF(B68="","",IF(COUNTIF($B$8:B68,B68)=1,1,0))</f>
        <v/>
      </c>
    </row>
    <row r="69">
      <c r="B69" s="32" t="n"/>
      <c r="C69" s="33">
        <f>IF(B69="","",MID("LunMarMiéJueVieSábDom",(WEEKDAY(B69,2)-1)*3+1,3))</f>
        <v/>
      </c>
      <c r="D69" s="29" t="n"/>
      <c r="E69" s="33">
        <f>IF(D69="","",IFERROR(INDEX(Rutina!$D$8:$D$37,MATCH(D69,Rutina!$C$8:$C$37,0)),"¿En la rutina?"))</f>
        <v/>
      </c>
      <c r="F69" s="27" t="n"/>
      <c r="G69" s="27" t="n"/>
      <c r="H69" s="30" t="n"/>
      <c r="I69" s="27" t="n"/>
      <c r="J69" s="18">
        <f>IF(OR(F69="",G69=""),"",F69*G69)</f>
        <v/>
      </c>
      <c r="K69" s="34">
        <f>IF(J69="","",J69*N(H69))</f>
        <v/>
      </c>
      <c r="L69" s="19">
        <f>IF(J69="","",IFERROR(IF(INDEX(Rutina!$I$8:$I$37,MATCH(D69,Rutina!$C$8:$C$37,0))&gt;0,K69/INDEX(Rutina!$K$8:$K$37,MATCH(D69,Rutina!$C$8:$C$37,0)),J69/INDEX(Rutina!$J$8:$J$37,MATCH(D69,Rutina!$C$8:$C$37,0))),""))</f>
        <v/>
      </c>
      <c r="M69" s="33">
        <f>IF(L69="","",IF(L69&gt;1.02,"Superado",IF(L69&gt;=Rutina!$H$5,"Cumplido","Por debajo")))</f>
        <v/>
      </c>
      <c r="N69" s="31">
        <f>IF(OR(J69="",N(H69)=0),"",ROUND(H69*(1+G69/30),1))</f>
        <v/>
      </c>
      <c r="O69" s="29" t="n"/>
      <c r="P69" s="35">
        <f>IF(B69="","",IF(COUNTIF($B$8:B69,B69)=1,1,0))</f>
        <v/>
      </c>
    </row>
    <row r="70">
      <c r="B70" s="32" t="n"/>
      <c r="C70" s="33">
        <f>IF(B70="","",MID("LunMarMiéJueVieSábDom",(WEEKDAY(B70,2)-1)*3+1,3))</f>
        <v/>
      </c>
      <c r="D70" s="29" t="n"/>
      <c r="E70" s="33">
        <f>IF(D70="","",IFERROR(INDEX(Rutina!$D$8:$D$37,MATCH(D70,Rutina!$C$8:$C$37,0)),"¿En la rutina?"))</f>
        <v/>
      </c>
      <c r="F70" s="27" t="n"/>
      <c r="G70" s="27" t="n"/>
      <c r="H70" s="30" t="n"/>
      <c r="I70" s="27" t="n"/>
      <c r="J70" s="18">
        <f>IF(OR(F70="",G70=""),"",F70*G70)</f>
        <v/>
      </c>
      <c r="K70" s="34">
        <f>IF(J70="","",J70*N(H70))</f>
        <v/>
      </c>
      <c r="L70" s="19">
        <f>IF(J70="","",IFERROR(IF(INDEX(Rutina!$I$8:$I$37,MATCH(D70,Rutina!$C$8:$C$37,0))&gt;0,K70/INDEX(Rutina!$K$8:$K$37,MATCH(D70,Rutina!$C$8:$C$37,0)),J70/INDEX(Rutina!$J$8:$J$37,MATCH(D70,Rutina!$C$8:$C$37,0))),""))</f>
        <v/>
      </c>
      <c r="M70" s="33">
        <f>IF(L70="","",IF(L70&gt;1.02,"Superado",IF(L70&gt;=Rutina!$H$5,"Cumplido","Por debajo")))</f>
        <v/>
      </c>
      <c r="N70" s="31">
        <f>IF(OR(J70="",N(H70)=0),"",ROUND(H70*(1+G70/30),1))</f>
        <v/>
      </c>
      <c r="O70" s="29" t="n"/>
      <c r="P70" s="35">
        <f>IF(B70="","",IF(COUNTIF($B$8:B70,B70)=1,1,0))</f>
        <v/>
      </c>
    </row>
    <row r="71">
      <c r="B71" s="32" t="n"/>
      <c r="C71" s="33">
        <f>IF(B71="","",MID("LunMarMiéJueVieSábDom",(WEEKDAY(B71,2)-1)*3+1,3))</f>
        <v/>
      </c>
      <c r="D71" s="29" t="n"/>
      <c r="E71" s="33">
        <f>IF(D71="","",IFERROR(INDEX(Rutina!$D$8:$D$37,MATCH(D71,Rutina!$C$8:$C$37,0)),"¿En la rutina?"))</f>
        <v/>
      </c>
      <c r="F71" s="27" t="n"/>
      <c r="G71" s="27" t="n"/>
      <c r="H71" s="30" t="n"/>
      <c r="I71" s="27" t="n"/>
      <c r="J71" s="18">
        <f>IF(OR(F71="",G71=""),"",F71*G71)</f>
        <v/>
      </c>
      <c r="K71" s="34">
        <f>IF(J71="","",J71*N(H71))</f>
        <v/>
      </c>
      <c r="L71" s="19">
        <f>IF(J71="","",IFERROR(IF(INDEX(Rutina!$I$8:$I$37,MATCH(D71,Rutina!$C$8:$C$37,0))&gt;0,K71/INDEX(Rutina!$K$8:$K$37,MATCH(D71,Rutina!$C$8:$C$37,0)),J71/INDEX(Rutina!$J$8:$J$37,MATCH(D71,Rutina!$C$8:$C$37,0))),""))</f>
        <v/>
      </c>
      <c r="M71" s="33">
        <f>IF(L71="","",IF(L71&gt;1.02,"Superado",IF(L71&gt;=Rutina!$H$5,"Cumplido","Por debajo")))</f>
        <v/>
      </c>
      <c r="N71" s="31">
        <f>IF(OR(J71="",N(H71)=0),"",ROUND(H71*(1+G71/30),1))</f>
        <v/>
      </c>
      <c r="O71" s="29" t="n"/>
      <c r="P71" s="35">
        <f>IF(B71="","",IF(COUNTIF($B$8:B71,B71)=1,1,0))</f>
        <v/>
      </c>
    </row>
    <row r="72">
      <c r="B72" s="32" t="n"/>
      <c r="C72" s="33">
        <f>IF(B72="","",MID("LunMarMiéJueVieSábDom",(WEEKDAY(B72,2)-1)*3+1,3))</f>
        <v/>
      </c>
      <c r="D72" s="29" t="n"/>
      <c r="E72" s="33">
        <f>IF(D72="","",IFERROR(INDEX(Rutina!$D$8:$D$37,MATCH(D72,Rutina!$C$8:$C$37,0)),"¿En la rutina?"))</f>
        <v/>
      </c>
      <c r="F72" s="27" t="n"/>
      <c r="G72" s="27" t="n"/>
      <c r="H72" s="30" t="n"/>
      <c r="I72" s="27" t="n"/>
      <c r="J72" s="18">
        <f>IF(OR(F72="",G72=""),"",F72*G72)</f>
        <v/>
      </c>
      <c r="K72" s="34">
        <f>IF(J72="","",J72*N(H72))</f>
        <v/>
      </c>
      <c r="L72" s="19">
        <f>IF(J72="","",IFERROR(IF(INDEX(Rutina!$I$8:$I$37,MATCH(D72,Rutina!$C$8:$C$37,0))&gt;0,K72/INDEX(Rutina!$K$8:$K$37,MATCH(D72,Rutina!$C$8:$C$37,0)),J72/INDEX(Rutina!$J$8:$J$37,MATCH(D72,Rutina!$C$8:$C$37,0))),""))</f>
        <v/>
      </c>
      <c r="M72" s="33">
        <f>IF(L72="","",IF(L72&gt;1.02,"Superado",IF(L72&gt;=Rutina!$H$5,"Cumplido","Por debajo")))</f>
        <v/>
      </c>
      <c r="N72" s="31">
        <f>IF(OR(J72="",N(H72)=0),"",ROUND(H72*(1+G72/30),1))</f>
        <v/>
      </c>
      <c r="O72" s="29" t="n"/>
      <c r="P72" s="35">
        <f>IF(B72="","",IF(COUNTIF($B$8:B72,B72)=1,1,0))</f>
        <v/>
      </c>
    </row>
    <row r="73">
      <c r="B73" s="32" t="n"/>
      <c r="C73" s="33">
        <f>IF(B73="","",MID("LunMarMiéJueVieSábDom",(WEEKDAY(B73,2)-1)*3+1,3))</f>
        <v/>
      </c>
      <c r="D73" s="29" t="n"/>
      <c r="E73" s="33">
        <f>IF(D73="","",IFERROR(INDEX(Rutina!$D$8:$D$37,MATCH(D73,Rutina!$C$8:$C$37,0)),"¿En la rutina?"))</f>
        <v/>
      </c>
      <c r="F73" s="27" t="n"/>
      <c r="G73" s="27" t="n"/>
      <c r="H73" s="30" t="n"/>
      <c r="I73" s="27" t="n"/>
      <c r="J73" s="18">
        <f>IF(OR(F73="",G73=""),"",F73*G73)</f>
        <v/>
      </c>
      <c r="K73" s="34">
        <f>IF(J73="","",J73*N(H73))</f>
        <v/>
      </c>
      <c r="L73" s="19">
        <f>IF(J73="","",IFERROR(IF(INDEX(Rutina!$I$8:$I$37,MATCH(D73,Rutina!$C$8:$C$37,0))&gt;0,K73/INDEX(Rutina!$K$8:$K$37,MATCH(D73,Rutina!$C$8:$C$37,0)),J73/INDEX(Rutina!$J$8:$J$37,MATCH(D73,Rutina!$C$8:$C$37,0))),""))</f>
        <v/>
      </c>
      <c r="M73" s="33">
        <f>IF(L73="","",IF(L73&gt;1.02,"Superado",IF(L73&gt;=Rutina!$H$5,"Cumplido","Por debajo")))</f>
        <v/>
      </c>
      <c r="N73" s="31">
        <f>IF(OR(J73="",N(H73)=0),"",ROUND(H73*(1+G73/30),1))</f>
        <v/>
      </c>
      <c r="O73" s="29" t="n"/>
      <c r="P73" s="35">
        <f>IF(B73="","",IF(COUNTIF($B$8:B73,B73)=1,1,0))</f>
        <v/>
      </c>
    </row>
    <row r="74">
      <c r="B74" s="32" t="n"/>
      <c r="C74" s="33">
        <f>IF(B74="","",MID("LunMarMiéJueVieSábDom",(WEEKDAY(B74,2)-1)*3+1,3))</f>
        <v/>
      </c>
      <c r="D74" s="29" t="n"/>
      <c r="E74" s="33">
        <f>IF(D74="","",IFERROR(INDEX(Rutina!$D$8:$D$37,MATCH(D74,Rutina!$C$8:$C$37,0)),"¿En la rutina?"))</f>
        <v/>
      </c>
      <c r="F74" s="27" t="n"/>
      <c r="G74" s="27" t="n"/>
      <c r="H74" s="30" t="n"/>
      <c r="I74" s="27" t="n"/>
      <c r="J74" s="18">
        <f>IF(OR(F74="",G74=""),"",F74*G74)</f>
        <v/>
      </c>
      <c r="K74" s="34">
        <f>IF(J74="","",J74*N(H74))</f>
        <v/>
      </c>
      <c r="L74" s="19">
        <f>IF(J74="","",IFERROR(IF(INDEX(Rutina!$I$8:$I$37,MATCH(D74,Rutina!$C$8:$C$37,0))&gt;0,K74/INDEX(Rutina!$K$8:$K$37,MATCH(D74,Rutina!$C$8:$C$37,0)),J74/INDEX(Rutina!$J$8:$J$37,MATCH(D74,Rutina!$C$8:$C$37,0))),""))</f>
        <v/>
      </c>
      <c r="M74" s="33">
        <f>IF(L74="","",IF(L74&gt;1.02,"Superado",IF(L74&gt;=Rutina!$H$5,"Cumplido","Por debajo")))</f>
        <v/>
      </c>
      <c r="N74" s="31">
        <f>IF(OR(J74="",N(H74)=0),"",ROUND(H74*(1+G74/30),1))</f>
        <v/>
      </c>
      <c r="O74" s="29" t="n"/>
      <c r="P74" s="35">
        <f>IF(B74="","",IF(COUNTIF($B$8:B74,B74)=1,1,0))</f>
        <v/>
      </c>
    </row>
    <row r="75">
      <c r="B75" s="32" t="n"/>
      <c r="C75" s="33">
        <f>IF(B75="","",MID("LunMarMiéJueVieSábDom",(WEEKDAY(B75,2)-1)*3+1,3))</f>
        <v/>
      </c>
      <c r="D75" s="29" t="n"/>
      <c r="E75" s="33">
        <f>IF(D75="","",IFERROR(INDEX(Rutina!$D$8:$D$37,MATCH(D75,Rutina!$C$8:$C$37,0)),"¿En la rutina?"))</f>
        <v/>
      </c>
      <c r="F75" s="27" t="n"/>
      <c r="G75" s="27" t="n"/>
      <c r="H75" s="30" t="n"/>
      <c r="I75" s="27" t="n"/>
      <c r="J75" s="18">
        <f>IF(OR(F75="",G75=""),"",F75*G75)</f>
        <v/>
      </c>
      <c r="K75" s="34">
        <f>IF(J75="","",J75*N(H75))</f>
        <v/>
      </c>
      <c r="L75" s="19">
        <f>IF(J75="","",IFERROR(IF(INDEX(Rutina!$I$8:$I$37,MATCH(D75,Rutina!$C$8:$C$37,0))&gt;0,K75/INDEX(Rutina!$K$8:$K$37,MATCH(D75,Rutina!$C$8:$C$37,0)),J75/INDEX(Rutina!$J$8:$J$37,MATCH(D75,Rutina!$C$8:$C$37,0))),""))</f>
        <v/>
      </c>
      <c r="M75" s="33">
        <f>IF(L75="","",IF(L75&gt;1.02,"Superado",IF(L75&gt;=Rutina!$H$5,"Cumplido","Por debajo")))</f>
        <v/>
      </c>
      <c r="N75" s="31">
        <f>IF(OR(J75="",N(H75)=0),"",ROUND(H75*(1+G75/30),1))</f>
        <v/>
      </c>
      <c r="O75" s="29" t="n"/>
      <c r="P75" s="35">
        <f>IF(B75="","",IF(COUNTIF($B$8:B75,B75)=1,1,0))</f>
        <v/>
      </c>
    </row>
    <row r="76">
      <c r="B76" s="32" t="n"/>
      <c r="C76" s="33">
        <f>IF(B76="","",MID("LunMarMiéJueVieSábDom",(WEEKDAY(B76,2)-1)*3+1,3))</f>
        <v/>
      </c>
      <c r="D76" s="29" t="n"/>
      <c r="E76" s="33">
        <f>IF(D76="","",IFERROR(INDEX(Rutina!$D$8:$D$37,MATCH(D76,Rutina!$C$8:$C$37,0)),"¿En la rutina?"))</f>
        <v/>
      </c>
      <c r="F76" s="27" t="n"/>
      <c r="G76" s="27" t="n"/>
      <c r="H76" s="30" t="n"/>
      <c r="I76" s="27" t="n"/>
      <c r="J76" s="18">
        <f>IF(OR(F76="",G76=""),"",F76*G76)</f>
        <v/>
      </c>
      <c r="K76" s="34">
        <f>IF(J76="","",J76*N(H76))</f>
        <v/>
      </c>
      <c r="L76" s="19">
        <f>IF(J76="","",IFERROR(IF(INDEX(Rutina!$I$8:$I$37,MATCH(D76,Rutina!$C$8:$C$37,0))&gt;0,K76/INDEX(Rutina!$K$8:$K$37,MATCH(D76,Rutina!$C$8:$C$37,0)),J76/INDEX(Rutina!$J$8:$J$37,MATCH(D76,Rutina!$C$8:$C$37,0))),""))</f>
        <v/>
      </c>
      <c r="M76" s="33">
        <f>IF(L76="","",IF(L76&gt;1.02,"Superado",IF(L76&gt;=Rutina!$H$5,"Cumplido","Por debajo")))</f>
        <v/>
      </c>
      <c r="N76" s="31">
        <f>IF(OR(J76="",N(H76)=0),"",ROUND(H76*(1+G76/30),1))</f>
        <v/>
      </c>
      <c r="O76" s="29" t="n"/>
      <c r="P76" s="35">
        <f>IF(B76="","",IF(COUNTIF($B$8:B76,B76)=1,1,0))</f>
        <v/>
      </c>
    </row>
    <row r="77">
      <c r="B77" s="32" t="n"/>
      <c r="C77" s="33">
        <f>IF(B77="","",MID("LunMarMiéJueVieSábDom",(WEEKDAY(B77,2)-1)*3+1,3))</f>
        <v/>
      </c>
      <c r="D77" s="29" t="n"/>
      <c r="E77" s="33">
        <f>IF(D77="","",IFERROR(INDEX(Rutina!$D$8:$D$37,MATCH(D77,Rutina!$C$8:$C$37,0)),"¿En la rutina?"))</f>
        <v/>
      </c>
      <c r="F77" s="27" t="n"/>
      <c r="G77" s="27" t="n"/>
      <c r="H77" s="30" t="n"/>
      <c r="I77" s="27" t="n"/>
      <c r="J77" s="18">
        <f>IF(OR(F77="",G77=""),"",F77*G77)</f>
        <v/>
      </c>
      <c r="K77" s="34">
        <f>IF(J77="","",J77*N(H77))</f>
        <v/>
      </c>
      <c r="L77" s="19">
        <f>IF(J77="","",IFERROR(IF(INDEX(Rutina!$I$8:$I$37,MATCH(D77,Rutina!$C$8:$C$37,0))&gt;0,K77/INDEX(Rutina!$K$8:$K$37,MATCH(D77,Rutina!$C$8:$C$37,0)),J77/INDEX(Rutina!$J$8:$J$37,MATCH(D77,Rutina!$C$8:$C$37,0))),""))</f>
        <v/>
      </c>
      <c r="M77" s="33">
        <f>IF(L77="","",IF(L77&gt;1.02,"Superado",IF(L77&gt;=Rutina!$H$5,"Cumplido","Por debajo")))</f>
        <v/>
      </c>
      <c r="N77" s="31">
        <f>IF(OR(J77="",N(H77)=0),"",ROUND(H77*(1+G77/30),1))</f>
        <v/>
      </c>
      <c r="O77" s="29" t="n"/>
      <c r="P77" s="35">
        <f>IF(B77="","",IF(COUNTIF($B$8:B77,B77)=1,1,0))</f>
        <v/>
      </c>
    </row>
    <row r="78">
      <c r="B78" s="32" t="n"/>
      <c r="C78" s="33">
        <f>IF(B78="","",MID("LunMarMiéJueVieSábDom",(WEEKDAY(B78,2)-1)*3+1,3))</f>
        <v/>
      </c>
      <c r="D78" s="29" t="n"/>
      <c r="E78" s="33">
        <f>IF(D78="","",IFERROR(INDEX(Rutina!$D$8:$D$37,MATCH(D78,Rutina!$C$8:$C$37,0)),"¿En la rutina?"))</f>
        <v/>
      </c>
      <c r="F78" s="27" t="n"/>
      <c r="G78" s="27" t="n"/>
      <c r="H78" s="30" t="n"/>
      <c r="I78" s="27" t="n"/>
      <c r="J78" s="18">
        <f>IF(OR(F78="",G78=""),"",F78*G78)</f>
        <v/>
      </c>
      <c r="K78" s="34">
        <f>IF(J78="","",J78*N(H78))</f>
        <v/>
      </c>
      <c r="L78" s="19">
        <f>IF(J78="","",IFERROR(IF(INDEX(Rutina!$I$8:$I$37,MATCH(D78,Rutina!$C$8:$C$37,0))&gt;0,K78/INDEX(Rutina!$K$8:$K$37,MATCH(D78,Rutina!$C$8:$C$37,0)),J78/INDEX(Rutina!$J$8:$J$37,MATCH(D78,Rutina!$C$8:$C$37,0))),""))</f>
        <v/>
      </c>
      <c r="M78" s="33">
        <f>IF(L78="","",IF(L78&gt;1.02,"Superado",IF(L78&gt;=Rutina!$H$5,"Cumplido","Por debajo")))</f>
        <v/>
      </c>
      <c r="N78" s="31">
        <f>IF(OR(J78="",N(H78)=0),"",ROUND(H78*(1+G78/30),1))</f>
        <v/>
      </c>
      <c r="O78" s="29" t="n"/>
      <c r="P78" s="35">
        <f>IF(B78="","",IF(COUNTIF($B$8:B78,B78)=1,1,0))</f>
        <v/>
      </c>
    </row>
    <row r="79">
      <c r="B79" s="32" t="n"/>
      <c r="C79" s="33">
        <f>IF(B79="","",MID("LunMarMiéJueVieSábDom",(WEEKDAY(B79,2)-1)*3+1,3))</f>
        <v/>
      </c>
      <c r="D79" s="29" t="n"/>
      <c r="E79" s="33">
        <f>IF(D79="","",IFERROR(INDEX(Rutina!$D$8:$D$37,MATCH(D79,Rutina!$C$8:$C$37,0)),"¿En la rutina?"))</f>
        <v/>
      </c>
      <c r="F79" s="27" t="n"/>
      <c r="G79" s="27" t="n"/>
      <c r="H79" s="30" t="n"/>
      <c r="I79" s="27" t="n"/>
      <c r="J79" s="18">
        <f>IF(OR(F79="",G79=""),"",F79*G79)</f>
        <v/>
      </c>
      <c r="K79" s="34">
        <f>IF(J79="","",J79*N(H79))</f>
        <v/>
      </c>
      <c r="L79" s="19">
        <f>IF(J79="","",IFERROR(IF(INDEX(Rutina!$I$8:$I$37,MATCH(D79,Rutina!$C$8:$C$37,0))&gt;0,K79/INDEX(Rutina!$K$8:$K$37,MATCH(D79,Rutina!$C$8:$C$37,0)),J79/INDEX(Rutina!$J$8:$J$37,MATCH(D79,Rutina!$C$8:$C$37,0))),""))</f>
        <v/>
      </c>
      <c r="M79" s="33">
        <f>IF(L79="","",IF(L79&gt;1.02,"Superado",IF(L79&gt;=Rutina!$H$5,"Cumplido","Por debajo")))</f>
        <v/>
      </c>
      <c r="N79" s="31">
        <f>IF(OR(J79="",N(H79)=0),"",ROUND(H79*(1+G79/30),1))</f>
        <v/>
      </c>
      <c r="O79" s="29" t="n"/>
      <c r="P79" s="35">
        <f>IF(B79="","",IF(COUNTIF($B$8:B79,B79)=1,1,0))</f>
        <v/>
      </c>
    </row>
    <row r="80">
      <c r="B80" s="32" t="n"/>
      <c r="C80" s="33">
        <f>IF(B80="","",MID("LunMarMiéJueVieSábDom",(WEEKDAY(B80,2)-1)*3+1,3))</f>
        <v/>
      </c>
      <c r="D80" s="29" t="n"/>
      <c r="E80" s="33">
        <f>IF(D80="","",IFERROR(INDEX(Rutina!$D$8:$D$37,MATCH(D80,Rutina!$C$8:$C$37,0)),"¿En la rutina?"))</f>
        <v/>
      </c>
      <c r="F80" s="27" t="n"/>
      <c r="G80" s="27" t="n"/>
      <c r="H80" s="30" t="n"/>
      <c r="I80" s="27" t="n"/>
      <c r="J80" s="18">
        <f>IF(OR(F80="",G80=""),"",F80*G80)</f>
        <v/>
      </c>
      <c r="K80" s="34">
        <f>IF(J80="","",J80*N(H80))</f>
        <v/>
      </c>
      <c r="L80" s="19">
        <f>IF(J80="","",IFERROR(IF(INDEX(Rutina!$I$8:$I$37,MATCH(D80,Rutina!$C$8:$C$37,0))&gt;0,K80/INDEX(Rutina!$K$8:$K$37,MATCH(D80,Rutina!$C$8:$C$37,0)),J80/INDEX(Rutina!$J$8:$J$37,MATCH(D80,Rutina!$C$8:$C$37,0))),""))</f>
        <v/>
      </c>
      <c r="M80" s="33">
        <f>IF(L80="","",IF(L80&gt;1.02,"Superado",IF(L80&gt;=Rutina!$H$5,"Cumplido","Por debajo")))</f>
        <v/>
      </c>
      <c r="N80" s="31">
        <f>IF(OR(J80="",N(H80)=0),"",ROUND(H80*(1+G80/30),1))</f>
        <v/>
      </c>
      <c r="O80" s="29" t="n"/>
      <c r="P80" s="35">
        <f>IF(B80="","",IF(COUNTIF($B$8:B80,B80)=1,1,0))</f>
        <v/>
      </c>
    </row>
    <row r="81">
      <c r="B81" s="32" t="n"/>
      <c r="C81" s="33">
        <f>IF(B81="","",MID("LunMarMiéJueVieSábDom",(WEEKDAY(B81,2)-1)*3+1,3))</f>
        <v/>
      </c>
      <c r="D81" s="29" t="n"/>
      <c r="E81" s="33">
        <f>IF(D81="","",IFERROR(INDEX(Rutina!$D$8:$D$37,MATCH(D81,Rutina!$C$8:$C$37,0)),"¿En la rutina?"))</f>
        <v/>
      </c>
      <c r="F81" s="27" t="n"/>
      <c r="G81" s="27" t="n"/>
      <c r="H81" s="30" t="n"/>
      <c r="I81" s="27" t="n"/>
      <c r="J81" s="18">
        <f>IF(OR(F81="",G81=""),"",F81*G81)</f>
        <v/>
      </c>
      <c r="K81" s="34">
        <f>IF(J81="","",J81*N(H81))</f>
        <v/>
      </c>
      <c r="L81" s="19">
        <f>IF(J81="","",IFERROR(IF(INDEX(Rutina!$I$8:$I$37,MATCH(D81,Rutina!$C$8:$C$37,0))&gt;0,K81/INDEX(Rutina!$K$8:$K$37,MATCH(D81,Rutina!$C$8:$C$37,0)),J81/INDEX(Rutina!$J$8:$J$37,MATCH(D81,Rutina!$C$8:$C$37,0))),""))</f>
        <v/>
      </c>
      <c r="M81" s="33">
        <f>IF(L81="","",IF(L81&gt;1.02,"Superado",IF(L81&gt;=Rutina!$H$5,"Cumplido","Por debajo")))</f>
        <v/>
      </c>
      <c r="N81" s="31">
        <f>IF(OR(J81="",N(H81)=0),"",ROUND(H81*(1+G81/30),1))</f>
        <v/>
      </c>
      <c r="O81" s="29" t="n"/>
      <c r="P81" s="35">
        <f>IF(B81="","",IF(COUNTIF($B$8:B81,B81)=1,1,0))</f>
        <v/>
      </c>
    </row>
    <row r="82">
      <c r="B82" s="32" t="n"/>
      <c r="C82" s="33">
        <f>IF(B82="","",MID("LunMarMiéJueVieSábDom",(WEEKDAY(B82,2)-1)*3+1,3))</f>
        <v/>
      </c>
      <c r="D82" s="29" t="n"/>
      <c r="E82" s="33">
        <f>IF(D82="","",IFERROR(INDEX(Rutina!$D$8:$D$37,MATCH(D82,Rutina!$C$8:$C$37,0)),"¿En la rutina?"))</f>
        <v/>
      </c>
      <c r="F82" s="27" t="n"/>
      <c r="G82" s="27" t="n"/>
      <c r="H82" s="30" t="n"/>
      <c r="I82" s="27" t="n"/>
      <c r="J82" s="18">
        <f>IF(OR(F82="",G82=""),"",F82*G82)</f>
        <v/>
      </c>
      <c r="K82" s="34">
        <f>IF(J82="","",J82*N(H82))</f>
        <v/>
      </c>
      <c r="L82" s="19">
        <f>IF(J82="","",IFERROR(IF(INDEX(Rutina!$I$8:$I$37,MATCH(D82,Rutina!$C$8:$C$37,0))&gt;0,K82/INDEX(Rutina!$K$8:$K$37,MATCH(D82,Rutina!$C$8:$C$37,0)),J82/INDEX(Rutina!$J$8:$J$37,MATCH(D82,Rutina!$C$8:$C$37,0))),""))</f>
        <v/>
      </c>
      <c r="M82" s="33">
        <f>IF(L82="","",IF(L82&gt;1.02,"Superado",IF(L82&gt;=Rutina!$H$5,"Cumplido","Por debajo")))</f>
        <v/>
      </c>
      <c r="N82" s="31">
        <f>IF(OR(J82="",N(H82)=0),"",ROUND(H82*(1+G82/30),1))</f>
        <v/>
      </c>
      <c r="O82" s="29" t="n"/>
      <c r="P82" s="35">
        <f>IF(B82="","",IF(COUNTIF($B$8:B82,B82)=1,1,0))</f>
        <v/>
      </c>
    </row>
    <row r="83">
      <c r="B83" s="32" t="n"/>
      <c r="C83" s="33">
        <f>IF(B83="","",MID("LunMarMiéJueVieSábDom",(WEEKDAY(B83,2)-1)*3+1,3))</f>
        <v/>
      </c>
      <c r="D83" s="29" t="n"/>
      <c r="E83" s="33">
        <f>IF(D83="","",IFERROR(INDEX(Rutina!$D$8:$D$37,MATCH(D83,Rutina!$C$8:$C$37,0)),"¿En la rutina?"))</f>
        <v/>
      </c>
      <c r="F83" s="27" t="n"/>
      <c r="G83" s="27" t="n"/>
      <c r="H83" s="30" t="n"/>
      <c r="I83" s="27" t="n"/>
      <c r="J83" s="18">
        <f>IF(OR(F83="",G83=""),"",F83*G83)</f>
        <v/>
      </c>
      <c r="K83" s="34">
        <f>IF(J83="","",J83*N(H83))</f>
        <v/>
      </c>
      <c r="L83" s="19">
        <f>IF(J83="","",IFERROR(IF(INDEX(Rutina!$I$8:$I$37,MATCH(D83,Rutina!$C$8:$C$37,0))&gt;0,K83/INDEX(Rutina!$K$8:$K$37,MATCH(D83,Rutina!$C$8:$C$37,0)),J83/INDEX(Rutina!$J$8:$J$37,MATCH(D83,Rutina!$C$8:$C$37,0))),""))</f>
        <v/>
      </c>
      <c r="M83" s="33">
        <f>IF(L83="","",IF(L83&gt;1.02,"Superado",IF(L83&gt;=Rutina!$H$5,"Cumplido","Por debajo")))</f>
        <v/>
      </c>
      <c r="N83" s="31">
        <f>IF(OR(J83="",N(H83)=0),"",ROUND(H83*(1+G83/30),1))</f>
        <v/>
      </c>
      <c r="O83" s="29" t="n"/>
      <c r="P83" s="35">
        <f>IF(B83="","",IF(COUNTIF($B$8:B83,B83)=1,1,0))</f>
        <v/>
      </c>
    </row>
    <row r="84">
      <c r="B84" s="32" t="n"/>
      <c r="C84" s="33">
        <f>IF(B84="","",MID("LunMarMiéJueVieSábDom",(WEEKDAY(B84,2)-1)*3+1,3))</f>
        <v/>
      </c>
      <c r="D84" s="29" t="n"/>
      <c r="E84" s="33">
        <f>IF(D84="","",IFERROR(INDEX(Rutina!$D$8:$D$37,MATCH(D84,Rutina!$C$8:$C$37,0)),"¿En la rutina?"))</f>
        <v/>
      </c>
      <c r="F84" s="27" t="n"/>
      <c r="G84" s="27" t="n"/>
      <c r="H84" s="30" t="n"/>
      <c r="I84" s="27" t="n"/>
      <c r="J84" s="18">
        <f>IF(OR(F84="",G84=""),"",F84*G84)</f>
        <v/>
      </c>
      <c r="K84" s="34">
        <f>IF(J84="","",J84*N(H84))</f>
        <v/>
      </c>
      <c r="L84" s="19">
        <f>IF(J84="","",IFERROR(IF(INDEX(Rutina!$I$8:$I$37,MATCH(D84,Rutina!$C$8:$C$37,0))&gt;0,K84/INDEX(Rutina!$K$8:$K$37,MATCH(D84,Rutina!$C$8:$C$37,0)),J84/INDEX(Rutina!$J$8:$J$37,MATCH(D84,Rutina!$C$8:$C$37,0))),""))</f>
        <v/>
      </c>
      <c r="M84" s="33">
        <f>IF(L84="","",IF(L84&gt;1.02,"Superado",IF(L84&gt;=Rutina!$H$5,"Cumplido","Por debajo")))</f>
        <v/>
      </c>
      <c r="N84" s="31">
        <f>IF(OR(J84="",N(H84)=0),"",ROUND(H84*(1+G84/30),1))</f>
        <v/>
      </c>
      <c r="O84" s="29" t="n"/>
      <c r="P84" s="35">
        <f>IF(B84="","",IF(COUNTIF($B$8:B84,B84)=1,1,0))</f>
        <v/>
      </c>
    </row>
    <row r="85">
      <c r="B85" s="32" t="n"/>
      <c r="C85" s="33">
        <f>IF(B85="","",MID("LunMarMiéJueVieSábDom",(WEEKDAY(B85,2)-1)*3+1,3))</f>
        <v/>
      </c>
      <c r="D85" s="29" t="n"/>
      <c r="E85" s="33">
        <f>IF(D85="","",IFERROR(INDEX(Rutina!$D$8:$D$37,MATCH(D85,Rutina!$C$8:$C$37,0)),"¿En la rutina?"))</f>
        <v/>
      </c>
      <c r="F85" s="27" t="n"/>
      <c r="G85" s="27" t="n"/>
      <c r="H85" s="30" t="n"/>
      <c r="I85" s="27" t="n"/>
      <c r="J85" s="18">
        <f>IF(OR(F85="",G85=""),"",F85*G85)</f>
        <v/>
      </c>
      <c r="K85" s="34">
        <f>IF(J85="","",J85*N(H85))</f>
        <v/>
      </c>
      <c r="L85" s="19">
        <f>IF(J85="","",IFERROR(IF(INDEX(Rutina!$I$8:$I$37,MATCH(D85,Rutina!$C$8:$C$37,0))&gt;0,K85/INDEX(Rutina!$K$8:$K$37,MATCH(D85,Rutina!$C$8:$C$37,0)),J85/INDEX(Rutina!$J$8:$J$37,MATCH(D85,Rutina!$C$8:$C$37,0))),""))</f>
        <v/>
      </c>
      <c r="M85" s="33">
        <f>IF(L85="","",IF(L85&gt;1.02,"Superado",IF(L85&gt;=Rutina!$H$5,"Cumplido","Por debajo")))</f>
        <v/>
      </c>
      <c r="N85" s="31">
        <f>IF(OR(J85="",N(H85)=0),"",ROUND(H85*(1+G85/30),1))</f>
        <v/>
      </c>
      <c r="O85" s="29" t="n"/>
      <c r="P85" s="35">
        <f>IF(B85="","",IF(COUNTIF($B$8:B85,B85)=1,1,0))</f>
        <v/>
      </c>
    </row>
    <row r="86">
      <c r="B86" s="32" t="n"/>
      <c r="C86" s="33">
        <f>IF(B86="","",MID("LunMarMiéJueVieSábDom",(WEEKDAY(B86,2)-1)*3+1,3))</f>
        <v/>
      </c>
      <c r="D86" s="29" t="n"/>
      <c r="E86" s="33">
        <f>IF(D86="","",IFERROR(INDEX(Rutina!$D$8:$D$37,MATCH(D86,Rutina!$C$8:$C$37,0)),"¿En la rutina?"))</f>
        <v/>
      </c>
      <c r="F86" s="27" t="n"/>
      <c r="G86" s="27" t="n"/>
      <c r="H86" s="30" t="n"/>
      <c r="I86" s="27" t="n"/>
      <c r="J86" s="18">
        <f>IF(OR(F86="",G86=""),"",F86*G86)</f>
        <v/>
      </c>
      <c r="K86" s="34">
        <f>IF(J86="","",J86*N(H86))</f>
        <v/>
      </c>
      <c r="L86" s="19">
        <f>IF(J86="","",IFERROR(IF(INDEX(Rutina!$I$8:$I$37,MATCH(D86,Rutina!$C$8:$C$37,0))&gt;0,K86/INDEX(Rutina!$K$8:$K$37,MATCH(D86,Rutina!$C$8:$C$37,0)),J86/INDEX(Rutina!$J$8:$J$37,MATCH(D86,Rutina!$C$8:$C$37,0))),""))</f>
        <v/>
      </c>
      <c r="M86" s="33">
        <f>IF(L86="","",IF(L86&gt;1.02,"Superado",IF(L86&gt;=Rutina!$H$5,"Cumplido","Por debajo")))</f>
        <v/>
      </c>
      <c r="N86" s="31">
        <f>IF(OR(J86="",N(H86)=0),"",ROUND(H86*(1+G86/30),1))</f>
        <v/>
      </c>
      <c r="O86" s="29" t="n"/>
      <c r="P86" s="35">
        <f>IF(B86="","",IF(COUNTIF($B$8:B86,B86)=1,1,0))</f>
        <v/>
      </c>
    </row>
    <row r="87">
      <c r="B87" s="32" t="n"/>
      <c r="C87" s="33">
        <f>IF(B87="","",MID("LunMarMiéJueVieSábDom",(WEEKDAY(B87,2)-1)*3+1,3))</f>
        <v/>
      </c>
      <c r="D87" s="29" t="n"/>
      <c r="E87" s="33">
        <f>IF(D87="","",IFERROR(INDEX(Rutina!$D$8:$D$37,MATCH(D87,Rutina!$C$8:$C$37,0)),"¿En la rutina?"))</f>
        <v/>
      </c>
      <c r="F87" s="27" t="n"/>
      <c r="G87" s="27" t="n"/>
      <c r="H87" s="30" t="n"/>
      <c r="I87" s="27" t="n"/>
      <c r="J87" s="18">
        <f>IF(OR(F87="",G87=""),"",F87*G87)</f>
        <v/>
      </c>
      <c r="K87" s="34">
        <f>IF(J87="","",J87*N(H87))</f>
        <v/>
      </c>
      <c r="L87" s="19">
        <f>IF(J87="","",IFERROR(IF(INDEX(Rutina!$I$8:$I$37,MATCH(D87,Rutina!$C$8:$C$37,0))&gt;0,K87/INDEX(Rutina!$K$8:$K$37,MATCH(D87,Rutina!$C$8:$C$37,0)),J87/INDEX(Rutina!$J$8:$J$37,MATCH(D87,Rutina!$C$8:$C$37,0))),""))</f>
        <v/>
      </c>
      <c r="M87" s="33">
        <f>IF(L87="","",IF(L87&gt;1.02,"Superado",IF(L87&gt;=Rutina!$H$5,"Cumplido","Por debajo")))</f>
        <v/>
      </c>
      <c r="N87" s="31">
        <f>IF(OR(J87="",N(H87)=0),"",ROUND(H87*(1+G87/30),1))</f>
        <v/>
      </c>
      <c r="O87" s="29" t="n"/>
      <c r="P87" s="35">
        <f>IF(B87="","",IF(COUNTIF($B$8:B87,B87)=1,1,0))</f>
        <v/>
      </c>
    </row>
    <row r="88">
      <c r="B88" s="32" t="n"/>
      <c r="C88" s="33">
        <f>IF(B88="","",MID("LunMarMiéJueVieSábDom",(WEEKDAY(B88,2)-1)*3+1,3))</f>
        <v/>
      </c>
      <c r="D88" s="29" t="n"/>
      <c r="E88" s="33">
        <f>IF(D88="","",IFERROR(INDEX(Rutina!$D$8:$D$37,MATCH(D88,Rutina!$C$8:$C$37,0)),"¿En la rutina?"))</f>
        <v/>
      </c>
      <c r="F88" s="27" t="n"/>
      <c r="G88" s="27" t="n"/>
      <c r="H88" s="30" t="n"/>
      <c r="I88" s="27" t="n"/>
      <c r="J88" s="18">
        <f>IF(OR(F88="",G88=""),"",F88*G88)</f>
        <v/>
      </c>
      <c r="K88" s="34">
        <f>IF(J88="","",J88*N(H88))</f>
        <v/>
      </c>
      <c r="L88" s="19">
        <f>IF(J88="","",IFERROR(IF(INDEX(Rutina!$I$8:$I$37,MATCH(D88,Rutina!$C$8:$C$37,0))&gt;0,K88/INDEX(Rutina!$K$8:$K$37,MATCH(D88,Rutina!$C$8:$C$37,0)),J88/INDEX(Rutina!$J$8:$J$37,MATCH(D88,Rutina!$C$8:$C$37,0))),""))</f>
        <v/>
      </c>
      <c r="M88" s="33">
        <f>IF(L88="","",IF(L88&gt;1.02,"Superado",IF(L88&gt;=Rutina!$H$5,"Cumplido","Por debajo")))</f>
        <v/>
      </c>
      <c r="N88" s="31">
        <f>IF(OR(J88="",N(H88)=0),"",ROUND(H88*(1+G88/30),1))</f>
        <v/>
      </c>
      <c r="O88" s="29" t="n"/>
      <c r="P88" s="35">
        <f>IF(B88="","",IF(COUNTIF($B$8:B88,B88)=1,1,0))</f>
        <v/>
      </c>
    </row>
    <row r="89">
      <c r="B89" s="32" t="n"/>
      <c r="C89" s="33">
        <f>IF(B89="","",MID("LunMarMiéJueVieSábDom",(WEEKDAY(B89,2)-1)*3+1,3))</f>
        <v/>
      </c>
      <c r="D89" s="29" t="n"/>
      <c r="E89" s="33">
        <f>IF(D89="","",IFERROR(INDEX(Rutina!$D$8:$D$37,MATCH(D89,Rutina!$C$8:$C$37,0)),"¿En la rutina?"))</f>
        <v/>
      </c>
      <c r="F89" s="27" t="n"/>
      <c r="G89" s="27" t="n"/>
      <c r="H89" s="30" t="n"/>
      <c r="I89" s="27" t="n"/>
      <c r="J89" s="18">
        <f>IF(OR(F89="",G89=""),"",F89*G89)</f>
        <v/>
      </c>
      <c r="K89" s="34">
        <f>IF(J89="","",J89*N(H89))</f>
        <v/>
      </c>
      <c r="L89" s="19">
        <f>IF(J89="","",IFERROR(IF(INDEX(Rutina!$I$8:$I$37,MATCH(D89,Rutina!$C$8:$C$37,0))&gt;0,K89/INDEX(Rutina!$K$8:$K$37,MATCH(D89,Rutina!$C$8:$C$37,0)),J89/INDEX(Rutina!$J$8:$J$37,MATCH(D89,Rutina!$C$8:$C$37,0))),""))</f>
        <v/>
      </c>
      <c r="M89" s="33">
        <f>IF(L89="","",IF(L89&gt;1.02,"Superado",IF(L89&gt;=Rutina!$H$5,"Cumplido","Por debajo")))</f>
        <v/>
      </c>
      <c r="N89" s="31">
        <f>IF(OR(J89="",N(H89)=0),"",ROUND(H89*(1+G89/30),1))</f>
        <v/>
      </c>
      <c r="O89" s="29" t="n"/>
      <c r="P89" s="35">
        <f>IF(B89="","",IF(COUNTIF($B$8:B89,B89)=1,1,0))</f>
        <v/>
      </c>
    </row>
    <row r="90">
      <c r="B90" s="32" t="n"/>
      <c r="C90" s="33">
        <f>IF(B90="","",MID("LunMarMiéJueVieSábDom",(WEEKDAY(B90,2)-1)*3+1,3))</f>
        <v/>
      </c>
      <c r="D90" s="29" t="n"/>
      <c r="E90" s="33">
        <f>IF(D90="","",IFERROR(INDEX(Rutina!$D$8:$D$37,MATCH(D90,Rutina!$C$8:$C$37,0)),"¿En la rutina?"))</f>
        <v/>
      </c>
      <c r="F90" s="27" t="n"/>
      <c r="G90" s="27" t="n"/>
      <c r="H90" s="30" t="n"/>
      <c r="I90" s="27" t="n"/>
      <c r="J90" s="18">
        <f>IF(OR(F90="",G90=""),"",F90*G90)</f>
        <v/>
      </c>
      <c r="K90" s="34">
        <f>IF(J90="","",J90*N(H90))</f>
        <v/>
      </c>
      <c r="L90" s="19">
        <f>IF(J90="","",IFERROR(IF(INDEX(Rutina!$I$8:$I$37,MATCH(D90,Rutina!$C$8:$C$37,0))&gt;0,K90/INDEX(Rutina!$K$8:$K$37,MATCH(D90,Rutina!$C$8:$C$37,0)),J90/INDEX(Rutina!$J$8:$J$37,MATCH(D90,Rutina!$C$8:$C$37,0))),""))</f>
        <v/>
      </c>
      <c r="M90" s="33">
        <f>IF(L90="","",IF(L90&gt;1.02,"Superado",IF(L90&gt;=Rutina!$H$5,"Cumplido","Por debajo")))</f>
        <v/>
      </c>
      <c r="N90" s="31">
        <f>IF(OR(J90="",N(H90)=0),"",ROUND(H90*(1+G90/30),1))</f>
        <v/>
      </c>
      <c r="O90" s="29" t="n"/>
      <c r="P90" s="35">
        <f>IF(B90="","",IF(COUNTIF($B$8:B90,B90)=1,1,0))</f>
        <v/>
      </c>
    </row>
    <row r="91">
      <c r="B91" s="32" t="n"/>
      <c r="C91" s="33">
        <f>IF(B91="","",MID("LunMarMiéJueVieSábDom",(WEEKDAY(B91,2)-1)*3+1,3))</f>
        <v/>
      </c>
      <c r="D91" s="29" t="n"/>
      <c r="E91" s="33">
        <f>IF(D91="","",IFERROR(INDEX(Rutina!$D$8:$D$37,MATCH(D91,Rutina!$C$8:$C$37,0)),"¿En la rutina?"))</f>
        <v/>
      </c>
      <c r="F91" s="27" t="n"/>
      <c r="G91" s="27" t="n"/>
      <c r="H91" s="30" t="n"/>
      <c r="I91" s="27" t="n"/>
      <c r="J91" s="18">
        <f>IF(OR(F91="",G91=""),"",F91*G91)</f>
        <v/>
      </c>
      <c r="K91" s="34">
        <f>IF(J91="","",J91*N(H91))</f>
        <v/>
      </c>
      <c r="L91" s="19">
        <f>IF(J91="","",IFERROR(IF(INDEX(Rutina!$I$8:$I$37,MATCH(D91,Rutina!$C$8:$C$37,0))&gt;0,K91/INDEX(Rutina!$K$8:$K$37,MATCH(D91,Rutina!$C$8:$C$37,0)),J91/INDEX(Rutina!$J$8:$J$37,MATCH(D91,Rutina!$C$8:$C$37,0))),""))</f>
        <v/>
      </c>
      <c r="M91" s="33">
        <f>IF(L91="","",IF(L91&gt;1.02,"Superado",IF(L91&gt;=Rutina!$H$5,"Cumplido","Por debajo")))</f>
        <v/>
      </c>
      <c r="N91" s="31">
        <f>IF(OR(J91="",N(H91)=0),"",ROUND(H91*(1+G91/30),1))</f>
        <v/>
      </c>
      <c r="O91" s="29" t="n"/>
      <c r="P91" s="35">
        <f>IF(B91="","",IF(COUNTIF($B$8:B91,B91)=1,1,0))</f>
        <v/>
      </c>
    </row>
    <row r="92">
      <c r="B92" s="32" t="n"/>
      <c r="C92" s="33">
        <f>IF(B92="","",MID("LunMarMiéJueVieSábDom",(WEEKDAY(B92,2)-1)*3+1,3))</f>
        <v/>
      </c>
      <c r="D92" s="29" t="n"/>
      <c r="E92" s="33">
        <f>IF(D92="","",IFERROR(INDEX(Rutina!$D$8:$D$37,MATCH(D92,Rutina!$C$8:$C$37,0)),"¿En la rutina?"))</f>
        <v/>
      </c>
      <c r="F92" s="27" t="n"/>
      <c r="G92" s="27" t="n"/>
      <c r="H92" s="30" t="n"/>
      <c r="I92" s="27" t="n"/>
      <c r="J92" s="18">
        <f>IF(OR(F92="",G92=""),"",F92*G92)</f>
        <v/>
      </c>
      <c r="K92" s="34">
        <f>IF(J92="","",J92*N(H92))</f>
        <v/>
      </c>
      <c r="L92" s="19">
        <f>IF(J92="","",IFERROR(IF(INDEX(Rutina!$I$8:$I$37,MATCH(D92,Rutina!$C$8:$C$37,0))&gt;0,K92/INDEX(Rutina!$K$8:$K$37,MATCH(D92,Rutina!$C$8:$C$37,0)),J92/INDEX(Rutina!$J$8:$J$37,MATCH(D92,Rutina!$C$8:$C$37,0))),""))</f>
        <v/>
      </c>
      <c r="M92" s="33">
        <f>IF(L92="","",IF(L92&gt;1.02,"Superado",IF(L92&gt;=Rutina!$H$5,"Cumplido","Por debajo")))</f>
        <v/>
      </c>
      <c r="N92" s="31">
        <f>IF(OR(J92="",N(H92)=0),"",ROUND(H92*(1+G92/30),1))</f>
        <v/>
      </c>
      <c r="O92" s="29" t="n"/>
      <c r="P92" s="35">
        <f>IF(B92="","",IF(COUNTIF($B$8:B92,B92)=1,1,0))</f>
        <v/>
      </c>
    </row>
    <row r="93">
      <c r="B93" s="32" t="n"/>
      <c r="C93" s="33">
        <f>IF(B93="","",MID("LunMarMiéJueVieSábDom",(WEEKDAY(B93,2)-1)*3+1,3))</f>
        <v/>
      </c>
      <c r="D93" s="29" t="n"/>
      <c r="E93" s="33">
        <f>IF(D93="","",IFERROR(INDEX(Rutina!$D$8:$D$37,MATCH(D93,Rutina!$C$8:$C$37,0)),"¿En la rutina?"))</f>
        <v/>
      </c>
      <c r="F93" s="27" t="n"/>
      <c r="G93" s="27" t="n"/>
      <c r="H93" s="30" t="n"/>
      <c r="I93" s="27" t="n"/>
      <c r="J93" s="18">
        <f>IF(OR(F93="",G93=""),"",F93*G93)</f>
        <v/>
      </c>
      <c r="K93" s="34">
        <f>IF(J93="","",J93*N(H93))</f>
        <v/>
      </c>
      <c r="L93" s="19">
        <f>IF(J93="","",IFERROR(IF(INDEX(Rutina!$I$8:$I$37,MATCH(D93,Rutina!$C$8:$C$37,0))&gt;0,K93/INDEX(Rutina!$K$8:$K$37,MATCH(D93,Rutina!$C$8:$C$37,0)),J93/INDEX(Rutina!$J$8:$J$37,MATCH(D93,Rutina!$C$8:$C$37,0))),""))</f>
        <v/>
      </c>
      <c r="M93" s="33">
        <f>IF(L93="","",IF(L93&gt;1.02,"Superado",IF(L93&gt;=Rutina!$H$5,"Cumplido","Por debajo")))</f>
        <v/>
      </c>
      <c r="N93" s="31">
        <f>IF(OR(J93="",N(H93)=0),"",ROUND(H93*(1+G93/30),1))</f>
        <v/>
      </c>
      <c r="O93" s="29" t="n"/>
      <c r="P93" s="35">
        <f>IF(B93="","",IF(COUNTIF($B$8:B93,B93)=1,1,0))</f>
        <v/>
      </c>
    </row>
    <row r="94">
      <c r="B94" s="32" t="n"/>
      <c r="C94" s="33">
        <f>IF(B94="","",MID("LunMarMiéJueVieSábDom",(WEEKDAY(B94,2)-1)*3+1,3))</f>
        <v/>
      </c>
      <c r="D94" s="29" t="n"/>
      <c r="E94" s="33">
        <f>IF(D94="","",IFERROR(INDEX(Rutina!$D$8:$D$37,MATCH(D94,Rutina!$C$8:$C$37,0)),"¿En la rutina?"))</f>
        <v/>
      </c>
      <c r="F94" s="27" t="n"/>
      <c r="G94" s="27" t="n"/>
      <c r="H94" s="30" t="n"/>
      <c r="I94" s="27" t="n"/>
      <c r="J94" s="18">
        <f>IF(OR(F94="",G94=""),"",F94*G94)</f>
        <v/>
      </c>
      <c r="K94" s="34">
        <f>IF(J94="","",J94*N(H94))</f>
        <v/>
      </c>
      <c r="L94" s="19">
        <f>IF(J94="","",IFERROR(IF(INDEX(Rutina!$I$8:$I$37,MATCH(D94,Rutina!$C$8:$C$37,0))&gt;0,K94/INDEX(Rutina!$K$8:$K$37,MATCH(D94,Rutina!$C$8:$C$37,0)),J94/INDEX(Rutina!$J$8:$J$37,MATCH(D94,Rutina!$C$8:$C$37,0))),""))</f>
        <v/>
      </c>
      <c r="M94" s="33">
        <f>IF(L94="","",IF(L94&gt;1.02,"Superado",IF(L94&gt;=Rutina!$H$5,"Cumplido","Por debajo")))</f>
        <v/>
      </c>
      <c r="N94" s="31">
        <f>IF(OR(J94="",N(H94)=0),"",ROUND(H94*(1+G94/30),1))</f>
        <v/>
      </c>
      <c r="O94" s="29" t="n"/>
      <c r="P94" s="35">
        <f>IF(B94="","",IF(COUNTIF($B$8:B94,B94)=1,1,0))</f>
        <v/>
      </c>
    </row>
    <row r="95">
      <c r="B95" s="32" t="n"/>
      <c r="C95" s="33">
        <f>IF(B95="","",MID("LunMarMiéJueVieSábDom",(WEEKDAY(B95,2)-1)*3+1,3))</f>
        <v/>
      </c>
      <c r="D95" s="29" t="n"/>
      <c r="E95" s="33">
        <f>IF(D95="","",IFERROR(INDEX(Rutina!$D$8:$D$37,MATCH(D95,Rutina!$C$8:$C$37,0)),"¿En la rutina?"))</f>
        <v/>
      </c>
      <c r="F95" s="27" t="n"/>
      <c r="G95" s="27" t="n"/>
      <c r="H95" s="30" t="n"/>
      <c r="I95" s="27" t="n"/>
      <c r="J95" s="18">
        <f>IF(OR(F95="",G95=""),"",F95*G95)</f>
        <v/>
      </c>
      <c r="K95" s="34">
        <f>IF(J95="","",J95*N(H95))</f>
        <v/>
      </c>
      <c r="L95" s="19">
        <f>IF(J95="","",IFERROR(IF(INDEX(Rutina!$I$8:$I$37,MATCH(D95,Rutina!$C$8:$C$37,0))&gt;0,K95/INDEX(Rutina!$K$8:$K$37,MATCH(D95,Rutina!$C$8:$C$37,0)),J95/INDEX(Rutina!$J$8:$J$37,MATCH(D95,Rutina!$C$8:$C$37,0))),""))</f>
        <v/>
      </c>
      <c r="M95" s="33">
        <f>IF(L95="","",IF(L95&gt;1.02,"Superado",IF(L95&gt;=Rutina!$H$5,"Cumplido","Por debajo")))</f>
        <v/>
      </c>
      <c r="N95" s="31">
        <f>IF(OR(J95="",N(H95)=0),"",ROUND(H95*(1+G95/30),1))</f>
        <v/>
      </c>
      <c r="O95" s="29" t="n"/>
      <c r="P95" s="35">
        <f>IF(B95="","",IF(COUNTIF($B$8:B95,B95)=1,1,0))</f>
        <v/>
      </c>
    </row>
    <row r="96">
      <c r="B96" s="32" t="n"/>
      <c r="C96" s="33">
        <f>IF(B96="","",MID("LunMarMiéJueVieSábDom",(WEEKDAY(B96,2)-1)*3+1,3))</f>
        <v/>
      </c>
      <c r="D96" s="29" t="n"/>
      <c r="E96" s="33">
        <f>IF(D96="","",IFERROR(INDEX(Rutina!$D$8:$D$37,MATCH(D96,Rutina!$C$8:$C$37,0)),"¿En la rutina?"))</f>
        <v/>
      </c>
      <c r="F96" s="27" t="n"/>
      <c r="G96" s="27" t="n"/>
      <c r="H96" s="30" t="n"/>
      <c r="I96" s="27" t="n"/>
      <c r="J96" s="18">
        <f>IF(OR(F96="",G96=""),"",F96*G96)</f>
        <v/>
      </c>
      <c r="K96" s="34">
        <f>IF(J96="","",J96*N(H96))</f>
        <v/>
      </c>
      <c r="L96" s="19">
        <f>IF(J96="","",IFERROR(IF(INDEX(Rutina!$I$8:$I$37,MATCH(D96,Rutina!$C$8:$C$37,0))&gt;0,K96/INDEX(Rutina!$K$8:$K$37,MATCH(D96,Rutina!$C$8:$C$37,0)),J96/INDEX(Rutina!$J$8:$J$37,MATCH(D96,Rutina!$C$8:$C$37,0))),""))</f>
        <v/>
      </c>
      <c r="M96" s="33">
        <f>IF(L96="","",IF(L96&gt;1.02,"Superado",IF(L96&gt;=Rutina!$H$5,"Cumplido","Por debajo")))</f>
        <v/>
      </c>
      <c r="N96" s="31">
        <f>IF(OR(J96="",N(H96)=0),"",ROUND(H96*(1+G96/30),1))</f>
        <v/>
      </c>
      <c r="O96" s="29" t="n"/>
      <c r="P96" s="35">
        <f>IF(B96="","",IF(COUNTIF($B$8:B96,B96)=1,1,0))</f>
        <v/>
      </c>
    </row>
    <row r="97">
      <c r="B97" s="32" t="n"/>
      <c r="C97" s="33">
        <f>IF(B97="","",MID("LunMarMiéJueVieSábDom",(WEEKDAY(B97,2)-1)*3+1,3))</f>
        <v/>
      </c>
      <c r="D97" s="29" t="n"/>
      <c r="E97" s="33">
        <f>IF(D97="","",IFERROR(INDEX(Rutina!$D$8:$D$37,MATCH(D97,Rutina!$C$8:$C$37,0)),"¿En la rutina?"))</f>
        <v/>
      </c>
      <c r="F97" s="27" t="n"/>
      <c r="G97" s="27" t="n"/>
      <c r="H97" s="30" t="n"/>
      <c r="I97" s="27" t="n"/>
      <c r="J97" s="18">
        <f>IF(OR(F97="",G97=""),"",F97*G97)</f>
        <v/>
      </c>
      <c r="K97" s="34">
        <f>IF(J97="","",J97*N(H97))</f>
        <v/>
      </c>
      <c r="L97" s="19">
        <f>IF(J97="","",IFERROR(IF(INDEX(Rutina!$I$8:$I$37,MATCH(D97,Rutina!$C$8:$C$37,0))&gt;0,K97/INDEX(Rutina!$K$8:$K$37,MATCH(D97,Rutina!$C$8:$C$37,0)),J97/INDEX(Rutina!$J$8:$J$37,MATCH(D97,Rutina!$C$8:$C$37,0))),""))</f>
        <v/>
      </c>
      <c r="M97" s="33">
        <f>IF(L97="","",IF(L97&gt;1.02,"Superado",IF(L97&gt;=Rutina!$H$5,"Cumplido","Por debajo")))</f>
        <v/>
      </c>
      <c r="N97" s="31">
        <f>IF(OR(J97="",N(H97)=0),"",ROUND(H97*(1+G97/30),1))</f>
        <v/>
      </c>
      <c r="O97" s="29" t="n"/>
      <c r="P97" s="35">
        <f>IF(B97="","",IF(COUNTIF($B$8:B97,B97)=1,1,0))</f>
        <v/>
      </c>
    </row>
    <row r="98">
      <c r="B98" s="32" t="n"/>
      <c r="C98" s="33">
        <f>IF(B98="","",MID("LunMarMiéJueVieSábDom",(WEEKDAY(B98,2)-1)*3+1,3))</f>
        <v/>
      </c>
      <c r="D98" s="29" t="n"/>
      <c r="E98" s="33">
        <f>IF(D98="","",IFERROR(INDEX(Rutina!$D$8:$D$37,MATCH(D98,Rutina!$C$8:$C$37,0)),"¿En la rutina?"))</f>
        <v/>
      </c>
      <c r="F98" s="27" t="n"/>
      <c r="G98" s="27" t="n"/>
      <c r="H98" s="30" t="n"/>
      <c r="I98" s="27" t="n"/>
      <c r="J98" s="18">
        <f>IF(OR(F98="",G98=""),"",F98*G98)</f>
        <v/>
      </c>
      <c r="K98" s="34">
        <f>IF(J98="","",J98*N(H98))</f>
        <v/>
      </c>
      <c r="L98" s="19">
        <f>IF(J98="","",IFERROR(IF(INDEX(Rutina!$I$8:$I$37,MATCH(D98,Rutina!$C$8:$C$37,0))&gt;0,K98/INDEX(Rutina!$K$8:$K$37,MATCH(D98,Rutina!$C$8:$C$37,0)),J98/INDEX(Rutina!$J$8:$J$37,MATCH(D98,Rutina!$C$8:$C$37,0))),""))</f>
        <v/>
      </c>
      <c r="M98" s="33">
        <f>IF(L98="","",IF(L98&gt;1.02,"Superado",IF(L98&gt;=Rutina!$H$5,"Cumplido","Por debajo")))</f>
        <v/>
      </c>
      <c r="N98" s="31">
        <f>IF(OR(J98="",N(H98)=0),"",ROUND(H98*(1+G98/30),1))</f>
        <v/>
      </c>
      <c r="O98" s="29" t="n"/>
      <c r="P98" s="35">
        <f>IF(B98="","",IF(COUNTIF($B$8:B98,B98)=1,1,0))</f>
        <v/>
      </c>
    </row>
    <row r="99">
      <c r="B99" s="32" t="n"/>
      <c r="C99" s="33">
        <f>IF(B99="","",MID("LunMarMiéJueVieSábDom",(WEEKDAY(B99,2)-1)*3+1,3))</f>
        <v/>
      </c>
      <c r="D99" s="29" t="n"/>
      <c r="E99" s="33">
        <f>IF(D99="","",IFERROR(INDEX(Rutina!$D$8:$D$37,MATCH(D99,Rutina!$C$8:$C$37,0)),"¿En la rutina?"))</f>
        <v/>
      </c>
      <c r="F99" s="27" t="n"/>
      <c r="G99" s="27" t="n"/>
      <c r="H99" s="30" t="n"/>
      <c r="I99" s="27" t="n"/>
      <c r="J99" s="18">
        <f>IF(OR(F99="",G99=""),"",F99*G99)</f>
        <v/>
      </c>
      <c r="K99" s="34">
        <f>IF(J99="","",J99*N(H99))</f>
        <v/>
      </c>
      <c r="L99" s="19">
        <f>IF(J99="","",IFERROR(IF(INDEX(Rutina!$I$8:$I$37,MATCH(D99,Rutina!$C$8:$C$37,0))&gt;0,K99/INDEX(Rutina!$K$8:$K$37,MATCH(D99,Rutina!$C$8:$C$37,0)),J99/INDEX(Rutina!$J$8:$J$37,MATCH(D99,Rutina!$C$8:$C$37,0))),""))</f>
        <v/>
      </c>
      <c r="M99" s="33">
        <f>IF(L99="","",IF(L99&gt;1.02,"Superado",IF(L99&gt;=Rutina!$H$5,"Cumplido","Por debajo")))</f>
        <v/>
      </c>
      <c r="N99" s="31">
        <f>IF(OR(J99="",N(H99)=0),"",ROUND(H99*(1+G99/30),1))</f>
        <v/>
      </c>
      <c r="O99" s="29" t="n"/>
      <c r="P99" s="35">
        <f>IF(B99="","",IF(COUNTIF($B$8:B99,B99)=1,1,0))</f>
        <v/>
      </c>
    </row>
    <row r="100">
      <c r="B100" s="32" t="n"/>
      <c r="C100" s="33">
        <f>IF(B100="","",MID("LunMarMiéJueVieSábDom",(WEEKDAY(B100,2)-1)*3+1,3))</f>
        <v/>
      </c>
      <c r="D100" s="29" t="n"/>
      <c r="E100" s="33">
        <f>IF(D100="","",IFERROR(INDEX(Rutina!$D$8:$D$37,MATCH(D100,Rutina!$C$8:$C$37,0)),"¿En la rutina?"))</f>
        <v/>
      </c>
      <c r="F100" s="27" t="n"/>
      <c r="G100" s="27" t="n"/>
      <c r="H100" s="30" t="n"/>
      <c r="I100" s="27" t="n"/>
      <c r="J100" s="18">
        <f>IF(OR(F100="",G100=""),"",F100*G100)</f>
        <v/>
      </c>
      <c r="K100" s="34">
        <f>IF(J100="","",J100*N(H100))</f>
        <v/>
      </c>
      <c r="L100" s="19">
        <f>IF(J100="","",IFERROR(IF(INDEX(Rutina!$I$8:$I$37,MATCH(D100,Rutina!$C$8:$C$37,0))&gt;0,K100/INDEX(Rutina!$K$8:$K$37,MATCH(D100,Rutina!$C$8:$C$37,0)),J100/INDEX(Rutina!$J$8:$J$37,MATCH(D100,Rutina!$C$8:$C$37,0))),""))</f>
        <v/>
      </c>
      <c r="M100" s="33">
        <f>IF(L100="","",IF(L100&gt;1.02,"Superado",IF(L100&gt;=Rutina!$H$5,"Cumplido","Por debajo")))</f>
        <v/>
      </c>
      <c r="N100" s="31">
        <f>IF(OR(J100="",N(H100)=0),"",ROUND(H100*(1+G100/30),1))</f>
        <v/>
      </c>
      <c r="O100" s="29" t="n"/>
      <c r="P100" s="35">
        <f>IF(B100="","",IF(COUNTIF($B$8:B100,B100)=1,1,0))</f>
        <v/>
      </c>
    </row>
    <row r="101">
      <c r="B101" s="32" t="n"/>
      <c r="C101" s="33">
        <f>IF(B101="","",MID("LunMarMiéJueVieSábDom",(WEEKDAY(B101,2)-1)*3+1,3))</f>
        <v/>
      </c>
      <c r="D101" s="29" t="n"/>
      <c r="E101" s="33">
        <f>IF(D101="","",IFERROR(INDEX(Rutina!$D$8:$D$37,MATCH(D101,Rutina!$C$8:$C$37,0)),"¿En la rutina?"))</f>
        <v/>
      </c>
      <c r="F101" s="27" t="n"/>
      <c r="G101" s="27" t="n"/>
      <c r="H101" s="30" t="n"/>
      <c r="I101" s="27" t="n"/>
      <c r="J101" s="18">
        <f>IF(OR(F101="",G101=""),"",F101*G101)</f>
        <v/>
      </c>
      <c r="K101" s="34">
        <f>IF(J101="","",J101*N(H101))</f>
        <v/>
      </c>
      <c r="L101" s="19">
        <f>IF(J101="","",IFERROR(IF(INDEX(Rutina!$I$8:$I$37,MATCH(D101,Rutina!$C$8:$C$37,0))&gt;0,K101/INDEX(Rutina!$K$8:$K$37,MATCH(D101,Rutina!$C$8:$C$37,0)),J101/INDEX(Rutina!$J$8:$J$37,MATCH(D101,Rutina!$C$8:$C$37,0))),""))</f>
        <v/>
      </c>
      <c r="M101" s="33">
        <f>IF(L101="","",IF(L101&gt;1.02,"Superado",IF(L101&gt;=Rutina!$H$5,"Cumplido","Por debajo")))</f>
        <v/>
      </c>
      <c r="N101" s="31">
        <f>IF(OR(J101="",N(H101)=0),"",ROUND(H101*(1+G101/30),1))</f>
        <v/>
      </c>
      <c r="O101" s="29" t="n"/>
      <c r="P101" s="35">
        <f>IF(B101="","",IF(COUNTIF($B$8:B101,B101)=1,1,0))</f>
        <v/>
      </c>
    </row>
    <row r="102">
      <c r="B102" s="32" t="n"/>
      <c r="C102" s="33">
        <f>IF(B102="","",MID("LunMarMiéJueVieSábDom",(WEEKDAY(B102,2)-1)*3+1,3))</f>
        <v/>
      </c>
      <c r="D102" s="29" t="n"/>
      <c r="E102" s="33">
        <f>IF(D102="","",IFERROR(INDEX(Rutina!$D$8:$D$37,MATCH(D102,Rutina!$C$8:$C$37,0)),"¿En la rutina?"))</f>
        <v/>
      </c>
      <c r="F102" s="27" t="n"/>
      <c r="G102" s="27" t="n"/>
      <c r="H102" s="30" t="n"/>
      <c r="I102" s="27" t="n"/>
      <c r="J102" s="18">
        <f>IF(OR(F102="",G102=""),"",F102*G102)</f>
        <v/>
      </c>
      <c r="K102" s="34">
        <f>IF(J102="","",J102*N(H102))</f>
        <v/>
      </c>
      <c r="L102" s="19">
        <f>IF(J102="","",IFERROR(IF(INDEX(Rutina!$I$8:$I$37,MATCH(D102,Rutina!$C$8:$C$37,0))&gt;0,K102/INDEX(Rutina!$K$8:$K$37,MATCH(D102,Rutina!$C$8:$C$37,0)),J102/INDEX(Rutina!$J$8:$J$37,MATCH(D102,Rutina!$C$8:$C$37,0))),""))</f>
        <v/>
      </c>
      <c r="M102" s="33">
        <f>IF(L102="","",IF(L102&gt;1.02,"Superado",IF(L102&gt;=Rutina!$H$5,"Cumplido","Por debajo")))</f>
        <v/>
      </c>
      <c r="N102" s="31">
        <f>IF(OR(J102="",N(H102)=0),"",ROUND(H102*(1+G102/30),1))</f>
        <v/>
      </c>
      <c r="O102" s="29" t="n"/>
      <c r="P102" s="35">
        <f>IF(B102="","",IF(COUNTIF($B$8:B102,B102)=1,1,0))</f>
        <v/>
      </c>
    </row>
    <row r="103">
      <c r="B103" s="32" t="n"/>
      <c r="C103" s="33">
        <f>IF(B103="","",MID("LunMarMiéJueVieSábDom",(WEEKDAY(B103,2)-1)*3+1,3))</f>
        <v/>
      </c>
      <c r="D103" s="29" t="n"/>
      <c r="E103" s="33">
        <f>IF(D103="","",IFERROR(INDEX(Rutina!$D$8:$D$37,MATCH(D103,Rutina!$C$8:$C$37,0)),"¿En la rutina?"))</f>
        <v/>
      </c>
      <c r="F103" s="27" t="n"/>
      <c r="G103" s="27" t="n"/>
      <c r="H103" s="30" t="n"/>
      <c r="I103" s="27" t="n"/>
      <c r="J103" s="18">
        <f>IF(OR(F103="",G103=""),"",F103*G103)</f>
        <v/>
      </c>
      <c r="K103" s="34">
        <f>IF(J103="","",J103*N(H103))</f>
        <v/>
      </c>
      <c r="L103" s="19">
        <f>IF(J103="","",IFERROR(IF(INDEX(Rutina!$I$8:$I$37,MATCH(D103,Rutina!$C$8:$C$37,0))&gt;0,K103/INDEX(Rutina!$K$8:$K$37,MATCH(D103,Rutina!$C$8:$C$37,0)),J103/INDEX(Rutina!$J$8:$J$37,MATCH(D103,Rutina!$C$8:$C$37,0))),""))</f>
        <v/>
      </c>
      <c r="M103" s="33">
        <f>IF(L103="","",IF(L103&gt;1.02,"Superado",IF(L103&gt;=Rutina!$H$5,"Cumplido","Por debajo")))</f>
        <v/>
      </c>
      <c r="N103" s="31">
        <f>IF(OR(J103="",N(H103)=0),"",ROUND(H103*(1+G103/30),1))</f>
        <v/>
      </c>
      <c r="O103" s="29" t="n"/>
      <c r="P103" s="35">
        <f>IF(B103="","",IF(COUNTIF($B$8:B103,B103)=1,1,0))</f>
        <v/>
      </c>
    </row>
    <row r="104">
      <c r="B104" s="32" t="n"/>
      <c r="C104" s="33">
        <f>IF(B104="","",MID("LunMarMiéJueVieSábDom",(WEEKDAY(B104,2)-1)*3+1,3))</f>
        <v/>
      </c>
      <c r="D104" s="29" t="n"/>
      <c r="E104" s="33">
        <f>IF(D104="","",IFERROR(INDEX(Rutina!$D$8:$D$37,MATCH(D104,Rutina!$C$8:$C$37,0)),"¿En la rutina?"))</f>
        <v/>
      </c>
      <c r="F104" s="27" t="n"/>
      <c r="G104" s="27" t="n"/>
      <c r="H104" s="30" t="n"/>
      <c r="I104" s="27" t="n"/>
      <c r="J104" s="18">
        <f>IF(OR(F104="",G104=""),"",F104*G104)</f>
        <v/>
      </c>
      <c r="K104" s="34">
        <f>IF(J104="","",J104*N(H104))</f>
        <v/>
      </c>
      <c r="L104" s="19">
        <f>IF(J104="","",IFERROR(IF(INDEX(Rutina!$I$8:$I$37,MATCH(D104,Rutina!$C$8:$C$37,0))&gt;0,K104/INDEX(Rutina!$K$8:$K$37,MATCH(D104,Rutina!$C$8:$C$37,0)),J104/INDEX(Rutina!$J$8:$J$37,MATCH(D104,Rutina!$C$8:$C$37,0))),""))</f>
        <v/>
      </c>
      <c r="M104" s="33">
        <f>IF(L104="","",IF(L104&gt;1.02,"Superado",IF(L104&gt;=Rutina!$H$5,"Cumplido","Por debajo")))</f>
        <v/>
      </c>
      <c r="N104" s="31">
        <f>IF(OR(J104="",N(H104)=0),"",ROUND(H104*(1+G104/30),1))</f>
        <v/>
      </c>
      <c r="O104" s="29" t="n"/>
      <c r="P104" s="35">
        <f>IF(B104="","",IF(COUNTIF($B$8:B104,B104)=1,1,0))</f>
        <v/>
      </c>
    </row>
    <row r="105">
      <c r="B105" s="32" t="n"/>
      <c r="C105" s="33">
        <f>IF(B105="","",MID("LunMarMiéJueVieSábDom",(WEEKDAY(B105,2)-1)*3+1,3))</f>
        <v/>
      </c>
      <c r="D105" s="29" t="n"/>
      <c r="E105" s="33">
        <f>IF(D105="","",IFERROR(INDEX(Rutina!$D$8:$D$37,MATCH(D105,Rutina!$C$8:$C$37,0)),"¿En la rutina?"))</f>
        <v/>
      </c>
      <c r="F105" s="27" t="n"/>
      <c r="G105" s="27" t="n"/>
      <c r="H105" s="30" t="n"/>
      <c r="I105" s="27" t="n"/>
      <c r="J105" s="18">
        <f>IF(OR(F105="",G105=""),"",F105*G105)</f>
        <v/>
      </c>
      <c r="K105" s="34">
        <f>IF(J105="","",J105*N(H105))</f>
        <v/>
      </c>
      <c r="L105" s="19">
        <f>IF(J105="","",IFERROR(IF(INDEX(Rutina!$I$8:$I$37,MATCH(D105,Rutina!$C$8:$C$37,0))&gt;0,K105/INDEX(Rutina!$K$8:$K$37,MATCH(D105,Rutina!$C$8:$C$37,0)),J105/INDEX(Rutina!$J$8:$J$37,MATCH(D105,Rutina!$C$8:$C$37,0))),""))</f>
        <v/>
      </c>
      <c r="M105" s="33">
        <f>IF(L105="","",IF(L105&gt;1.02,"Superado",IF(L105&gt;=Rutina!$H$5,"Cumplido","Por debajo")))</f>
        <v/>
      </c>
      <c r="N105" s="31">
        <f>IF(OR(J105="",N(H105)=0),"",ROUND(H105*(1+G105/30),1))</f>
        <v/>
      </c>
      <c r="O105" s="29" t="n"/>
      <c r="P105" s="35">
        <f>IF(B105="","",IF(COUNTIF($B$8:B105,B105)=1,1,0))</f>
        <v/>
      </c>
    </row>
    <row r="106">
      <c r="B106" s="32" t="n"/>
      <c r="C106" s="33">
        <f>IF(B106="","",MID("LunMarMiéJueVieSábDom",(WEEKDAY(B106,2)-1)*3+1,3))</f>
        <v/>
      </c>
      <c r="D106" s="29" t="n"/>
      <c r="E106" s="33">
        <f>IF(D106="","",IFERROR(INDEX(Rutina!$D$8:$D$37,MATCH(D106,Rutina!$C$8:$C$37,0)),"¿En la rutina?"))</f>
        <v/>
      </c>
      <c r="F106" s="27" t="n"/>
      <c r="G106" s="27" t="n"/>
      <c r="H106" s="30" t="n"/>
      <c r="I106" s="27" t="n"/>
      <c r="J106" s="18">
        <f>IF(OR(F106="",G106=""),"",F106*G106)</f>
        <v/>
      </c>
      <c r="K106" s="34">
        <f>IF(J106="","",J106*N(H106))</f>
        <v/>
      </c>
      <c r="L106" s="19">
        <f>IF(J106="","",IFERROR(IF(INDEX(Rutina!$I$8:$I$37,MATCH(D106,Rutina!$C$8:$C$37,0))&gt;0,K106/INDEX(Rutina!$K$8:$K$37,MATCH(D106,Rutina!$C$8:$C$37,0)),J106/INDEX(Rutina!$J$8:$J$37,MATCH(D106,Rutina!$C$8:$C$37,0))),""))</f>
        <v/>
      </c>
      <c r="M106" s="33">
        <f>IF(L106="","",IF(L106&gt;1.02,"Superado",IF(L106&gt;=Rutina!$H$5,"Cumplido","Por debajo")))</f>
        <v/>
      </c>
      <c r="N106" s="31">
        <f>IF(OR(J106="",N(H106)=0),"",ROUND(H106*(1+G106/30),1))</f>
        <v/>
      </c>
      <c r="O106" s="29" t="n"/>
      <c r="P106" s="35">
        <f>IF(B106="","",IF(COUNTIF($B$8:B106,B106)=1,1,0))</f>
        <v/>
      </c>
    </row>
    <row r="107">
      <c r="B107" s="32" t="n"/>
      <c r="C107" s="33">
        <f>IF(B107="","",MID("LunMarMiéJueVieSábDom",(WEEKDAY(B107,2)-1)*3+1,3))</f>
        <v/>
      </c>
      <c r="D107" s="29" t="n"/>
      <c r="E107" s="33">
        <f>IF(D107="","",IFERROR(INDEX(Rutina!$D$8:$D$37,MATCH(D107,Rutina!$C$8:$C$37,0)),"¿En la rutina?"))</f>
        <v/>
      </c>
      <c r="F107" s="27" t="n"/>
      <c r="G107" s="27" t="n"/>
      <c r="H107" s="30" t="n"/>
      <c r="I107" s="27" t="n"/>
      <c r="J107" s="18">
        <f>IF(OR(F107="",G107=""),"",F107*G107)</f>
        <v/>
      </c>
      <c r="K107" s="34">
        <f>IF(J107="","",J107*N(H107))</f>
        <v/>
      </c>
      <c r="L107" s="19">
        <f>IF(J107="","",IFERROR(IF(INDEX(Rutina!$I$8:$I$37,MATCH(D107,Rutina!$C$8:$C$37,0))&gt;0,K107/INDEX(Rutina!$K$8:$K$37,MATCH(D107,Rutina!$C$8:$C$37,0)),J107/INDEX(Rutina!$J$8:$J$37,MATCH(D107,Rutina!$C$8:$C$37,0))),""))</f>
        <v/>
      </c>
      <c r="M107" s="33">
        <f>IF(L107="","",IF(L107&gt;1.02,"Superado",IF(L107&gt;=Rutina!$H$5,"Cumplido","Por debajo")))</f>
        <v/>
      </c>
      <c r="N107" s="31">
        <f>IF(OR(J107="",N(H107)=0),"",ROUND(H107*(1+G107/30),1))</f>
        <v/>
      </c>
      <c r="O107" s="29" t="n"/>
      <c r="P107" s="35">
        <f>IF(B107="","",IF(COUNTIF($B$8:B107,B107)=1,1,0))</f>
        <v/>
      </c>
    </row>
    <row r="108">
      <c r="B108" s="32" t="n"/>
      <c r="C108" s="33">
        <f>IF(B108="","",MID("LunMarMiéJueVieSábDom",(WEEKDAY(B108,2)-1)*3+1,3))</f>
        <v/>
      </c>
      <c r="D108" s="29" t="n"/>
      <c r="E108" s="33">
        <f>IF(D108="","",IFERROR(INDEX(Rutina!$D$8:$D$37,MATCH(D108,Rutina!$C$8:$C$37,0)),"¿En la rutina?"))</f>
        <v/>
      </c>
      <c r="F108" s="27" t="n"/>
      <c r="G108" s="27" t="n"/>
      <c r="H108" s="30" t="n"/>
      <c r="I108" s="27" t="n"/>
      <c r="J108" s="18">
        <f>IF(OR(F108="",G108=""),"",F108*G108)</f>
        <v/>
      </c>
      <c r="K108" s="34">
        <f>IF(J108="","",J108*N(H108))</f>
        <v/>
      </c>
      <c r="L108" s="19">
        <f>IF(J108="","",IFERROR(IF(INDEX(Rutina!$I$8:$I$37,MATCH(D108,Rutina!$C$8:$C$37,0))&gt;0,K108/INDEX(Rutina!$K$8:$K$37,MATCH(D108,Rutina!$C$8:$C$37,0)),J108/INDEX(Rutina!$J$8:$J$37,MATCH(D108,Rutina!$C$8:$C$37,0))),""))</f>
        <v/>
      </c>
      <c r="M108" s="33">
        <f>IF(L108="","",IF(L108&gt;1.02,"Superado",IF(L108&gt;=Rutina!$H$5,"Cumplido","Por debajo")))</f>
        <v/>
      </c>
      <c r="N108" s="31">
        <f>IF(OR(J108="",N(H108)=0),"",ROUND(H108*(1+G108/30),1))</f>
        <v/>
      </c>
      <c r="O108" s="29" t="n"/>
      <c r="P108" s="35">
        <f>IF(B108="","",IF(COUNTIF($B$8:B108,B108)=1,1,0))</f>
        <v/>
      </c>
    </row>
    <row r="109">
      <c r="B109" s="32" t="n"/>
      <c r="C109" s="33">
        <f>IF(B109="","",MID("LunMarMiéJueVieSábDom",(WEEKDAY(B109,2)-1)*3+1,3))</f>
        <v/>
      </c>
      <c r="D109" s="29" t="n"/>
      <c r="E109" s="33">
        <f>IF(D109="","",IFERROR(INDEX(Rutina!$D$8:$D$37,MATCH(D109,Rutina!$C$8:$C$37,0)),"¿En la rutina?"))</f>
        <v/>
      </c>
      <c r="F109" s="27" t="n"/>
      <c r="G109" s="27" t="n"/>
      <c r="H109" s="30" t="n"/>
      <c r="I109" s="27" t="n"/>
      <c r="J109" s="18">
        <f>IF(OR(F109="",G109=""),"",F109*G109)</f>
        <v/>
      </c>
      <c r="K109" s="34">
        <f>IF(J109="","",J109*N(H109))</f>
        <v/>
      </c>
      <c r="L109" s="19">
        <f>IF(J109="","",IFERROR(IF(INDEX(Rutina!$I$8:$I$37,MATCH(D109,Rutina!$C$8:$C$37,0))&gt;0,K109/INDEX(Rutina!$K$8:$K$37,MATCH(D109,Rutina!$C$8:$C$37,0)),J109/INDEX(Rutina!$J$8:$J$37,MATCH(D109,Rutina!$C$8:$C$37,0))),""))</f>
        <v/>
      </c>
      <c r="M109" s="33">
        <f>IF(L109="","",IF(L109&gt;1.02,"Superado",IF(L109&gt;=Rutina!$H$5,"Cumplido","Por debajo")))</f>
        <v/>
      </c>
      <c r="N109" s="31">
        <f>IF(OR(J109="",N(H109)=0),"",ROUND(H109*(1+G109/30),1))</f>
        <v/>
      </c>
      <c r="O109" s="29" t="n"/>
      <c r="P109" s="35">
        <f>IF(B109="","",IF(COUNTIF($B$8:B109,B109)=1,1,0))</f>
        <v/>
      </c>
    </row>
    <row r="110">
      <c r="B110" s="32" t="n"/>
      <c r="C110" s="33">
        <f>IF(B110="","",MID("LunMarMiéJueVieSábDom",(WEEKDAY(B110,2)-1)*3+1,3))</f>
        <v/>
      </c>
      <c r="D110" s="29" t="n"/>
      <c r="E110" s="33">
        <f>IF(D110="","",IFERROR(INDEX(Rutina!$D$8:$D$37,MATCH(D110,Rutina!$C$8:$C$37,0)),"¿En la rutina?"))</f>
        <v/>
      </c>
      <c r="F110" s="27" t="n"/>
      <c r="G110" s="27" t="n"/>
      <c r="H110" s="30" t="n"/>
      <c r="I110" s="27" t="n"/>
      <c r="J110" s="18">
        <f>IF(OR(F110="",G110=""),"",F110*G110)</f>
        <v/>
      </c>
      <c r="K110" s="34">
        <f>IF(J110="","",J110*N(H110))</f>
        <v/>
      </c>
      <c r="L110" s="19">
        <f>IF(J110="","",IFERROR(IF(INDEX(Rutina!$I$8:$I$37,MATCH(D110,Rutina!$C$8:$C$37,0))&gt;0,K110/INDEX(Rutina!$K$8:$K$37,MATCH(D110,Rutina!$C$8:$C$37,0)),J110/INDEX(Rutina!$J$8:$J$37,MATCH(D110,Rutina!$C$8:$C$37,0))),""))</f>
        <v/>
      </c>
      <c r="M110" s="33">
        <f>IF(L110="","",IF(L110&gt;1.02,"Superado",IF(L110&gt;=Rutina!$H$5,"Cumplido","Por debajo")))</f>
        <v/>
      </c>
      <c r="N110" s="31">
        <f>IF(OR(J110="",N(H110)=0),"",ROUND(H110*(1+G110/30),1))</f>
        <v/>
      </c>
      <c r="O110" s="29" t="n"/>
      <c r="P110" s="35">
        <f>IF(B110="","",IF(COUNTIF($B$8:B110,B110)=1,1,0))</f>
        <v/>
      </c>
    </row>
    <row r="111">
      <c r="B111" s="32" t="n"/>
      <c r="C111" s="33">
        <f>IF(B111="","",MID("LunMarMiéJueVieSábDom",(WEEKDAY(B111,2)-1)*3+1,3))</f>
        <v/>
      </c>
      <c r="D111" s="29" t="n"/>
      <c r="E111" s="33">
        <f>IF(D111="","",IFERROR(INDEX(Rutina!$D$8:$D$37,MATCH(D111,Rutina!$C$8:$C$37,0)),"¿En la rutina?"))</f>
        <v/>
      </c>
      <c r="F111" s="27" t="n"/>
      <c r="G111" s="27" t="n"/>
      <c r="H111" s="30" t="n"/>
      <c r="I111" s="27" t="n"/>
      <c r="J111" s="18">
        <f>IF(OR(F111="",G111=""),"",F111*G111)</f>
        <v/>
      </c>
      <c r="K111" s="34">
        <f>IF(J111="","",J111*N(H111))</f>
        <v/>
      </c>
      <c r="L111" s="19">
        <f>IF(J111="","",IFERROR(IF(INDEX(Rutina!$I$8:$I$37,MATCH(D111,Rutina!$C$8:$C$37,0))&gt;0,K111/INDEX(Rutina!$K$8:$K$37,MATCH(D111,Rutina!$C$8:$C$37,0)),J111/INDEX(Rutina!$J$8:$J$37,MATCH(D111,Rutina!$C$8:$C$37,0))),""))</f>
        <v/>
      </c>
      <c r="M111" s="33">
        <f>IF(L111="","",IF(L111&gt;1.02,"Superado",IF(L111&gt;=Rutina!$H$5,"Cumplido","Por debajo")))</f>
        <v/>
      </c>
      <c r="N111" s="31">
        <f>IF(OR(J111="",N(H111)=0),"",ROUND(H111*(1+G111/30),1))</f>
        <v/>
      </c>
      <c r="O111" s="29" t="n"/>
      <c r="P111" s="35">
        <f>IF(B111="","",IF(COUNTIF($B$8:B111,B111)=1,1,0))</f>
        <v/>
      </c>
    </row>
    <row r="112">
      <c r="B112" s="32" t="n"/>
      <c r="C112" s="33">
        <f>IF(B112="","",MID("LunMarMiéJueVieSábDom",(WEEKDAY(B112,2)-1)*3+1,3))</f>
        <v/>
      </c>
      <c r="D112" s="29" t="n"/>
      <c r="E112" s="33">
        <f>IF(D112="","",IFERROR(INDEX(Rutina!$D$8:$D$37,MATCH(D112,Rutina!$C$8:$C$37,0)),"¿En la rutina?"))</f>
        <v/>
      </c>
      <c r="F112" s="27" t="n"/>
      <c r="G112" s="27" t="n"/>
      <c r="H112" s="30" t="n"/>
      <c r="I112" s="27" t="n"/>
      <c r="J112" s="18">
        <f>IF(OR(F112="",G112=""),"",F112*G112)</f>
        <v/>
      </c>
      <c r="K112" s="34">
        <f>IF(J112="","",J112*N(H112))</f>
        <v/>
      </c>
      <c r="L112" s="19">
        <f>IF(J112="","",IFERROR(IF(INDEX(Rutina!$I$8:$I$37,MATCH(D112,Rutina!$C$8:$C$37,0))&gt;0,K112/INDEX(Rutina!$K$8:$K$37,MATCH(D112,Rutina!$C$8:$C$37,0)),J112/INDEX(Rutina!$J$8:$J$37,MATCH(D112,Rutina!$C$8:$C$37,0))),""))</f>
        <v/>
      </c>
      <c r="M112" s="33">
        <f>IF(L112="","",IF(L112&gt;1.02,"Superado",IF(L112&gt;=Rutina!$H$5,"Cumplido","Por debajo")))</f>
        <v/>
      </c>
      <c r="N112" s="31">
        <f>IF(OR(J112="",N(H112)=0),"",ROUND(H112*(1+G112/30),1))</f>
        <v/>
      </c>
      <c r="O112" s="29" t="n"/>
      <c r="P112" s="35">
        <f>IF(B112="","",IF(COUNTIF($B$8:B112,B112)=1,1,0))</f>
        <v/>
      </c>
    </row>
    <row r="113">
      <c r="B113" s="32" t="n"/>
      <c r="C113" s="33">
        <f>IF(B113="","",MID("LunMarMiéJueVieSábDom",(WEEKDAY(B113,2)-1)*3+1,3))</f>
        <v/>
      </c>
      <c r="D113" s="29" t="n"/>
      <c r="E113" s="33">
        <f>IF(D113="","",IFERROR(INDEX(Rutina!$D$8:$D$37,MATCH(D113,Rutina!$C$8:$C$37,0)),"¿En la rutina?"))</f>
        <v/>
      </c>
      <c r="F113" s="27" t="n"/>
      <c r="G113" s="27" t="n"/>
      <c r="H113" s="30" t="n"/>
      <c r="I113" s="27" t="n"/>
      <c r="J113" s="18">
        <f>IF(OR(F113="",G113=""),"",F113*G113)</f>
        <v/>
      </c>
      <c r="K113" s="34">
        <f>IF(J113="","",J113*N(H113))</f>
        <v/>
      </c>
      <c r="L113" s="19">
        <f>IF(J113="","",IFERROR(IF(INDEX(Rutina!$I$8:$I$37,MATCH(D113,Rutina!$C$8:$C$37,0))&gt;0,K113/INDEX(Rutina!$K$8:$K$37,MATCH(D113,Rutina!$C$8:$C$37,0)),J113/INDEX(Rutina!$J$8:$J$37,MATCH(D113,Rutina!$C$8:$C$37,0))),""))</f>
        <v/>
      </c>
      <c r="M113" s="33">
        <f>IF(L113="","",IF(L113&gt;1.02,"Superado",IF(L113&gt;=Rutina!$H$5,"Cumplido","Por debajo")))</f>
        <v/>
      </c>
      <c r="N113" s="31">
        <f>IF(OR(J113="",N(H113)=0),"",ROUND(H113*(1+G113/30),1))</f>
        <v/>
      </c>
      <c r="O113" s="29" t="n"/>
      <c r="P113" s="35">
        <f>IF(B113="","",IF(COUNTIF($B$8:B113,B113)=1,1,0))</f>
        <v/>
      </c>
    </row>
    <row r="114">
      <c r="B114" s="32" t="n"/>
      <c r="C114" s="33">
        <f>IF(B114="","",MID("LunMarMiéJueVieSábDom",(WEEKDAY(B114,2)-1)*3+1,3))</f>
        <v/>
      </c>
      <c r="D114" s="29" t="n"/>
      <c r="E114" s="33">
        <f>IF(D114="","",IFERROR(INDEX(Rutina!$D$8:$D$37,MATCH(D114,Rutina!$C$8:$C$37,0)),"¿En la rutina?"))</f>
        <v/>
      </c>
      <c r="F114" s="27" t="n"/>
      <c r="G114" s="27" t="n"/>
      <c r="H114" s="30" t="n"/>
      <c r="I114" s="27" t="n"/>
      <c r="J114" s="18">
        <f>IF(OR(F114="",G114=""),"",F114*G114)</f>
        <v/>
      </c>
      <c r="K114" s="34">
        <f>IF(J114="","",J114*N(H114))</f>
        <v/>
      </c>
      <c r="L114" s="19">
        <f>IF(J114="","",IFERROR(IF(INDEX(Rutina!$I$8:$I$37,MATCH(D114,Rutina!$C$8:$C$37,0))&gt;0,K114/INDEX(Rutina!$K$8:$K$37,MATCH(D114,Rutina!$C$8:$C$37,0)),J114/INDEX(Rutina!$J$8:$J$37,MATCH(D114,Rutina!$C$8:$C$37,0))),""))</f>
        <v/>
      </c>
      <c r="M114" s="33">
        <f>IF(L114="","",IF(L114&gt;1.02,"Superado",IF(L114&gt;=Rutina!$H$5,"Cumplido","Por debajo")))</f>
        <v/>
      </c>
      <c r="N114" s="31">
        <f>IF(OR(J114="",N(H114)=0),"",ROUND(H114*(1+G114/30),1))</f>
        <v/>
      </c>
      <c r="O114" s="29" t="n"/>
      <c r="P114" s="35">
        <f>IF(B114="","",IF(COUNTIF($B$8:B114,B114)=1,1,0))</f>
        <v/>
      </c>
    </row>
    <row r="115">
      <c r="B115" s="32" t="n"/>
      <c r="C115" s="33">
        <f>IF(B115="","",MID("LunMarMiéJueVieSábDom",(WEEKDAY(B115,2)-1)*3+1,3))</f>
        <v/>
      </c>
      <c r="D115" s="29" t="n"/>
      <c r="E115" s="33">
        <f>IF(D115="","",IFERROR(INDEX(Rutina!$D$8:$D$37,MATCH(D115,Rutina!$C$8:$C$37,0)),"¿En la rutina?"))</f>
        <v/>
      </c>
      <c r="F115" s="27" t="n"/>
      <c r="G115" s="27" t="n"/>
      <c r="H115" s="30" t="n"/>
      <c r="I115" s="27" t="n"/>
      <c r="J115" s="18">
        <f>IF(OR(F115="",G115=""),"",F115*G115)</f>
        <v/>
      </c>
      <c r="K115" s="34">
        <f>IF(J115="","",J115*N(H115))</f>
        <v/>
      </c>
      <c r="L115" s="19">
        <f>IF(J115="","",IFERROR(IF(INDEX(Rutina!$I$8:$I$37,MATCH(D115,Rutina!$C$8:$C$37,0))&gt;0,K115/INDEX(Rutina!$K$8:$K$37,MATCH(D115,Rutina!$C$8:$C$37,0)),J115/INDEX(Rutina!$J$8:$J$37,MATCH(D115,Rutina!$C$8:$C$37,0))),""))</f>
        <v/>
      </c>
      <c r="M115" s="33">
        <f>IF(L115="","",IF(L115&gt;1.02,"Superado",IF(L115&gt;=Rutina!$H$5,"Cumplido","Por debajo")))</f>
        <v/>
      </c>
      <c r="N115" s="31">
        <f>IF(OR(J115="",N(H115)=0),"",ROUND(H115*(1+G115/30),1))</f>
        <v/>
      </c>
      <c r="O115" s="29" t="n"/>
      <c r="P115" s="35">
        <f>IF(B115="","",IF(COUNTIF($B$8:B115,B115)=1,1,0))</f>
        <v/>
      </c>
    </row>
    <row r="116">
      <c r="B116" s="32" t="n"/>
      <c r="C116" s="33">
        <f>IF(B116="","",MID("LunMarMiéJueVieSábDom",(WEEKDAY(B116,2)-1)*3+1,3))</f>
        <v/>
      </c>
      <c r="D116" s="29" t="n"/>
      <c r="E116" s="33">
        <f>IF(D116="","",IFERROR(INDEX(Rutina!$D$8:$D$37,MATCH(D116,Rutina!$C$8:$C$37,0)),"¿En la rutina?"))</f>
        <v/>
      </c>
      <c r="F116" s="27" t="n"/>
      <c r="G116" s="27" t="n"/>
      <c r="H116" s="30" t="n"/>
      <c r="I116" s="27" t="n"/>
      <c r="J116" s="18">
        <f>IF(OR(F116="",G116=""),"",F116*G116)</f>
        <v/>
      </c>
      <c r="K116" s="34">
        <f>IF(J116="","",J116*N(H116))</f>
        <v/>
      </c>
      <c r="L116" s="19">
        <f>IF(J116="","",IFERROR(IF(INDEX(Rutina!$I$8:$I$37,MATCH(D116,Rutina!$C$8:$C$37,0))&gt;0,K116/INDEX(Rutina!$K$8:$K$37,MATCH(D116,Rutina!$C$8:$C$37,0)),J116/INDEX(Rutina!$J$8:$J$37,MATCH(D116,Rutina!$C$8:$C$37,0))),""))</f>
        <v/>
      </c>
      <c r="M116" s="33">
        <f>IF(L116="","",IF(L116&gt;1.02,"Superado",IF(L116&gt;=Rutina!$H$5,"Cumplido","Por debajo")))</f>
        <v/>
      </c>
      <c r="N116" s="31">
        <f>IF(OR(J116="",N(H116)=0),"",ROUND(H116*(1+G116/30),1))</f>
        <v/>
      </c>
      <c r="O116" s="29" t="n"/>
      <c r="P116" s="35">
        <f>IF(B116="","",IF(COUNTIF($B$8:B116,B116)=1,1,0))</f>
        <v/>
      </c>
    </row>
    <row r="117">
      <c r="B117" s="32" t="n"/>
      <c r="C117" s="33">
        <f>IF(B117="","",MID("LunMarMiéJueVieSábDom",(WEEKDAY(B117,2)-1)*3+1,3))</f>
        <v/>
      </c>
      <c r="D117" s="29" t="n"/>
      <c r="E117" s="33">
        <f>IF(D117="","",IFERROR(INDEX(Rutina!$D$8:$D$37,MATCH(D117,Rutina!$C$8:$C$37,0)),"¿En la rutina?"))</f>
        <v/>
      </c>
      <c r="F117" s="27" t="n"/>
      <c r="G117" s="27" t="n"/>
      <c r="H117" s="30" t="n"/>
      <c r="I117" s="27" t="n"/>
      <c r="J117" s="18">
        <f>IF(OR(F117="",G117=""),"",F117*G117)</f>
        <v/>
      </c>
      <c r="K117" s="34">
        <f>IF(J117="","",J117*N(H117))</f>
        <v/>
      </c>
      <c r="L117" s="19">
        <f>IF(J117="","",IFERROR(IF(INDEX(Rutina!$I$8:$I$37,MATCH(D117,Rutina!$C$8:$C$37,0))&gt;0,K117/INDEX(Rutina!$K$8:$K$37,MATCH(D117,Rutina!$C$8:$C$37,0)),J117/INDEX(Rutina!$J$8:$J$37,MATCH(D117,Rutina!$C$8:$C$37,0))),""))</f>
        <v/>
      </c>
      <c r="M117" s="33">
        <f>IF(L117="","",IF(L117&gt;1.02,"Superado",IF(L117&gt;=Rutina!$H$5,"Cumplido","Por debajo")))</f>
        <v/>
      </c>
      <c r="N117" s="31">
        <f>IF(OR(J117="",N(H117)=0),"",ROUND(H117*(1+G117/30),1))</f>
        <v/>
      </c>
      <c r="O117" s="29" t="n"/>
      <c r="P117" s="35">
        <f>IF(B117="","",IF(COUNTIF($B$8:B117,B117)=1,1,0))</f>
        <v/>
      </c>
    </row>
    <row r="118">
      <c r="B118" s="32" t="n"/>
      <c r="C118" s="33">
        <f>IF(B118="","",MID("LunMarMiéJueVieSábDom",(WEEKDAY(B118,2)-1)*3+1,3))</f>
        <v/>
      </c>
      <c r="D118" s="29" t="n"/>
      <c r="E118" s="33">
        <f>IF(D118="","",IFERROR(INDEX(Rutina!$D$8:$D$37,MATCH(D118,Rutina!$C$8:$C$37,0)),"¿En la rutina?"))</f>
        <v/>
      </c>
      <c r="F118" s="27" t="n"/>
      <c r="G118" s="27" t="n"/>
      <c r="H118" s="30" t="n"/>
      <c r="I118" s="27" t="n"/>
      <c r="J118" s="18">
        <f>IF(OR(F118="",G118=""),"",F118*G118)</f>
        <v/>
      </c>
      <c r="K118" s="34">
        <f>IF(J118="","",J118*N(H118))</f>
        <v/>
      </c>
      <c r="L118" s="19">
        <f>IF(J118="","",IFERROR(IF(INDEX(Rutina!$I$8:$I$37,MATCH(D118,Rutina!$C$8:$C$37,0))&gt;0,K118/INDEX(Rutina!$K$8:$K$37,MATCH(D118,Rutina!$C$8:$C$37,0)),J118/INDEX(Rutina!$J$8:$J$37,MATCH(D118,Rutina!$C$8:$C$37,0))),""))</f>
        <v/>
      </c>
      <c r="M118" s="33">
        <f>IF(L118="","",IF(L118&gt;1.02,"Superado",IF(L118&gt;=Rutina!$H$5,"Cumplido","Por debajo")))</f>
        <v/>
      </c>
      <c r="N118" s="31">
        <f>IF(OR(J118="",N(H118)=0),"",ROUND(H118*(1+G118/30),1))</f>
        <v/>
      </c>
      <c r="O118" s="29" t="n"/>
      <c r="P118" s="35">
        <f>IF(B118="","",IF(COUNTIF($B$8:B118,B118)=1,1,0))</f>
        <v/>
      </c>
    </row>
    <row r="119">
      <c r="B119" s="32" t="n"/>
      <c r="C119" s="33">
        <f>IF(B119="","",MID("LunMarMiéJueVieSábDom",(WEEKDAY(B119,2)-1)*3+1,3))</f>
        <v/>
      </c>
      <c r="D119" s="29" t="n"/>
      <c r="E119" s="33">
        <f>IF(D119="","",IFERROR(INDEX(Rutina!$D$8:$D$37,MATCH(D119,Rutina!$C$8:$C$37,0)),"¿En la rutina?"))</f>
        <v/>
      </c>
      <c r="F119" s="27" t="n"/>
      <c r="G119" s="27" t="n"/>
      <c r="H119" s="30" t="n"/>
      <c r="I119" s="27" t="n"/>
      <c r="J119" s="18">
        <f>IF(OR(F119="",G119=""),"",F119*G119)</f>
        <v/>
      </c>
      <c r="K119" s="34">
        <f>IF(J119="","",J119*N(H119))</f>
        <v/>
      </c>
      <c r="L119" s="19">
        <f>IF(J119="","",IFERROR(IF(INDEX(Rutina!$I$8:$I$37,MATCH(D119,Rutina!$C$8:$C$37,0))&gt;0,K119/INDEX(Rutina!$K$8:$K$37,MATCH(D119,Rutina!$C$8:$C$37,0)),J119/INDEX(Rutina!$J$8:$J$37,MATCH(D119,Rutina!$C$8:$C$37,0))),""))</f>
        <v/>
      </c>
      <c r="M119" s="33">
        <f>IF(L119="","",IF(L119&gt;1.02,"Superado",IF(L119&gt;=Rutina!$H$5,"Cumplido","Por debajo")))</f>
        <v/>
      </c>
      <c r="N119" s="31">
        <f>IF(OR(J119="",N(H119)=0),"",ROUND(H119*(1+G119/30),1))</f>
        <v/>
      </c>
      <c r="O119" s="29" t="n"/>
      <c r="P119" s="35">
        <f>IF(B119="","",IF(COUNTIF($B$8:B119,B119)=1,1,0))</f>
        <v/>
      </c>
    </row>
    <row r="120">
      <c r="B120" s="32" t="n"/>
      <c r="C120" s="33">
        <f>IF(B120="","",MID("LunMarMiéJueVieSábDom",(WEEKDAY(B120,2)-1)*3+1,3))</f>
        <v/>
      </c>
      <c r="D120" s="29" t="n"/>
      <c r="E120" s="33">
        <f>IF(D120="","",IFERROR(INDEX(Rutina!$D$8:$D$37,MATCH(D120,Rutina!$C$8:$C$37,0)),"¿En la rutina?"))</f>
        <v/>
      </c>
      <c r="F120" s="27" t="n"/>
      <c r="G120" s="27" t="n"/>
      <c r="H120" s="30" t="n"/>
      <c r="I120" s="27" t="n"/>
      <c r="J120" s="18">
        <f>IF(OR(F120="",G120=""),"",F120*G120)</f>
        <v/>
      </c>
      <c r="K120" s="34">
        <f>IF(J120="","",J120*N(H120))</f>
        <v/>
      </c>
      <c r="L120" s="19">
        <f>IF(J120="","",IFERROR(IF(INDEX(Rutina!$I$8:$I$37,MATCH(D120,Rutina!$C$8:$C$37,0))&gt;0,K120/INDEX(Rutina!$K$8:$K$37,MATCH(D120,Rutina!$C$8:$C$37,0)),J120/INDEX(Rutina!$J$8:$J$37,MATCH(D120,Rutina!$C$8:$C$37,0))),""))</f>
        <v/>
      </c>
      <c r="M120" s="33">
        <f>IF(L120="","",IF(L120&gt;1.02,"Superado",IF(L120&gt;=Rutina!$H$5,"Cumplido","Por debajo")))</f>
        <v/>
      </c>
      <c r="N120" s="31">
        <f>IF(OR(J120="",N(H120)=0),"",ROUND(H120*(1+G120/30),1))</f>
        <v/>
      </c>
      <c r="O120" s="29" t="n"/>
      <c r="P120" s="35">
        <f>IF(B120="","",IF(COUNTIF($B$8:B120,B120)=1,1,0))</f>
        <v/>
      </c>
    </row>
    <row r="121">
      <c r="B121" s="32" t="n"/>
      <c r="C121" s="33">
        <f>IF(B121="","",MID("LunMarMiéJueVieSábDom",(WEEKDAY(B121,2)-1)*3+1,3))</f>
        <v/>
      </c>
      <c r="D121" s="29" t="n"/>
      <c r="E121" s="33">
        <f>IF(D121="","",IFERROR(INDEX(Rutina!$D$8:$D$37,MATCH(D121,Rutina!$C$8:$C$37,0)),"¿En la rutina?"))</f>
        <v/>
      </c>
      <c r="F121" s="27" t="n"/>
      <c r="G121" s="27" t="n"/>
      <c r="H121" s="30" t="n"/>
      <c r="I121" s="27" t="n"/>
      <c r="J121" s="18">
        <f>IF(OR(F121="",G121=""),"",F121*G121)</f>
        <v/>
      </c>
      <c r="K121" s="34">
        <f>IF(J121="","",J121*N(H121))</f>
        <v/>
      </c>
      <c r="L121" s="19">
        <f>IF(J121="","",IFERROR(IF(INDEX(Rutina!$I$8:$I$37,MATCH(D121,Rutina!$C$8:$C$37,0))&gt;0,K121/INDEX(Rutina!$K$8:$K$37,MATCH(D121,Rutina!$C$8:$C$37,0)),J121/INDEX(Rutina!$J$8:$J$37,MATCH(D121,Rutina!$C$8:$C$37,0))),""))</f>
        <v/>
      </c>
      <c r="M121" s="33">
        <f>IF(L121="","",IF(L121&gt;1.02,"Superado",IF(L121&gt;=Rutina!$H$5,"Cumplido","Por debajo")))</f>
        <v/>
      </c>
      <c r="N121" s="31">
        <f>IF(OR(J121="",N(H121)=0),"",ROUND(H121*(1+G121/30),1))</f>
        <v/>
      </c>
      <c r="O121" s="29" t="n"/>
      <c r="P121" s="35">
        <f>IF(B121="","",IF(COUNTIF($B$8:B121,B121)=1,1,0))</f>
        <v/>
      </c>
    </row>
    <row r="122">
      <c r="B122" s="32" t="n"/>
      <c r="C122" s="33">
        <f>IF(B122="","",MID("LunMarMiéJueVieSábDom",(WEEKDAY(B122,2)-1)*3+1,3))</f>
        <v/>
      </c>
      <c r="D122" s="29" t="n"/>
      <c r="E122" s="33">
        <f>IF(D122="","",IFERROR(INDEX(Rutina!$D$8:$D$37,MATCH(D122,Rutina!$C$8:$C$37,0)),"¿En la rutina?"))</f>
        <v/>
      </c>
      <c r="F122" s="27" t="n"/>
      <c r="G122" s="27" t="n"/>
      <c r="H122" s="30" t="n"/>
      <c r="I122" s="27" t="n"/>
      <c r="J122" s="18">
        <f>IF(OR(F122="",G122=""),"",F122*G122)</f>
        <v/>
      </c>
      <c r="K122" s="34">
        <f>IF(J122="","",J122*N(H122))</f>
        <v/>
      </c>
      <c r="L122" s="19">
        <f>IF(J122="","",IFERROR(IF(INDEX(Rutina!$I$8:$I$37,MATCH(D122,Rutina!$C$8:$C$37,0))&gt;0,K122/INDEX(Rutina!$K$8:$K$37,MATCH(D122,Rutina!$C$8:$C$37,0)),J122/INDEX(Rutina!$J$8:$J$37,MATCH(D122,Rutina!$C$8:$C$37,0))),""))</f>
        <v/>
      </c>
      <c r="M122" s="33">
        <f>IF(L122="","",IF(L122&gt;1.02,"Superado",IF(L122&gt;=Rutina!$H$5,"Cumplido","Por debajo")))</f>
        <v/>
      </c>
      <c r="N122" s="31">
        <f>IF(OR(J122="",N(H122)=0),"",ROUND(H122*(1+G122/30),1))</f>
        <v/>
      </c>
      <c r="O122" s="29" t="n"/>
      <c r="P122" s="35">
        <f>IF(B122="","",IF(COUNTIF($B$8:B122,B122)=1,1,0))</f>
        <v/>
      </c>
    </row>
    <row r="123">
      <c r="B123" s="32" t="n"/>
      <c r="C123" s="33">
        <f>IF(B123="","",MID("LunMarMiéJueVieSábDom",(WEEKDAY(B123,2)-1)*3+1,3))</f>
        <v/>
      </c>
      <c r="D123" s="29" t="n"/>
      <c r="E123" s="33">
        <f>IF(D123="","",IFERROR(INDEX(Rutina!$D$8:$D$37,MATCH(D123,Rutina!$C$8:$C$37,0)),"¿En la rutina?"))</f>
        <v/>
      </c>
      <c r="F123" s="27" t="n"/>
      <c r="G123" s="27" t="n"/>
      <c r="H123" s="30" t="n"/>
      <c r="I123" s="27" t="n"/>
      <c r="J123" s="18">
        <f>IF(OR(F123="",G123=""),"",F123*G123)</f>
        <v/>
      </c>
      <c r="K123" s="34">
        <f>IF(J123="","",J123*N(H123))</f>
        <v/>
      </c>
      <c r="L123" s="19">
        <f>IF(J123="","",IFERROR(IF(INDEX(Rutina!$I$8:$I$37,MATCH(D123,Rutina!$C$8:$C$37,0))&gt;0,K123/INDEX(Rutina!$K$8:$K$37,MATCH(D123,Rutina!$C$8:$C$37,0)),J123/INDEX(Rutina!$J$8:$J$37,MATCH(D123,Rutina!$C$8:$C$37,0))),""))</f>
        <v/>
      </c>
      <c r="M123" s="33">
        <f>IF(L123="","",IF(L123&gt;1.02,"Superado",IF(L123&gt;=Rutina!$H$5,"Cumplido","Por debajo")))</f>
        <v/>
      </c>
      <c r="N123" s="31">
        <f>IF(OR(J123="",N(H123)=0),"",ROUND(H123*(1+G123/30),1))</f>
        <v/>
      </c>
      <c r="O123" s="29" t="n"/>
      <c r="P123" s="35">
        <f>IF(B123="","",IF(COUNTIF($B$8:B123,B123)=1,1,0))</f>
        <v/>
      </c>
    </row>
    <row r="124">
      <c r="B124" s="32" t="n"/>
      <c r="C124" s="33">
        <f>IF(B124="","",MID("LunMarMiéJueVieSábDom",(WEEKDAY(B124,2)-1)*3+1,3))</f>
        <v/>
      </c>
      <c r="D124" s="29" t="n"/>
      <c r="E124" s="33">
        <f>IF(D124="","",IFERROR(INDEX(Rutina!$D$8:$D$37,MATCH(D124,Rutina!$C$8:$C$37,0)),"¿En la rutina?"))</f>
        <v/>
      </c>
      <c r="F124" s="27" t="n"/>
      <c r="G124" s="27" t="n"/>
      <c r="H124" s="30" t="n"/>
      <c r="I124" s="27" t="n"/>
      <c r="J124" s="18">
        <f>IF(OR(F124="",G124=""),"",F124*G124)</f>
        <v/>
      </c>
      <c r="K124" s="34">
        <f>IF(J124="","",J124*N(H124))</f>
        <v/>
      </c>
      <c r="L124" s="19">
        <f>IF(J124="","",IFERROR(IF(INDEX(Rutina!$I$8:$I$37,MATCH(D124,Rutina!$C$8:$C$37,0))&gt;0,K124/INDEX(Rutina!$K$8:$K$37,MATCH(D124,Rutina!$C$8:$C$37,0)),J124/INDEX(Rutina!$J$8:$J$37,MATCH(D124,Rutina!$C$8:$C$37,0))),""))</f>
        <v/>
      </c>
      <c r="M124" s="33">
        <f>IF(L124="","",IF(L124&gt;1.02,"Superado",IF(L124&gt;=Rutina!$H$5,"Cumplido","Por debajo")))</f>
        <v/>
      </c>
      <c r="N124" s="31">
        <f>IF(OR(J124="",N(H124)=0),"",ROUND(H124*(1+G124/30),1))</f>
        <v/>
      </c>
      <c r="O124" s="29" t="n"/>
      <c r="P124" s="35">
        <f>IF(B124="","",IF(COUNTIF($B$8:B124,B124)=1,1,0))</f>
        <v/>
      </c>
    </row>
    <row r="125">
      <c r="B125" s="32" t="n"/>
      <c r="C125" s="33">
        <f>IF(B125="","",MID("LunMarMiéJueVieSábDom",(WEEKDAY(B125,2)-1)*3+1,3))</f>
        <v/>
      </c>
      <c r="D125" s="29" t="n"/>
      <c r="E125" s="33">
        <f>IF(D125="","",IFERROR(INDEX(Rutina!$D$8:$D$37,MATCH(D125,Rutina!$C$8:$C$37,0)),"¿En la rutina?"))</f>
        <v/>
      </c>
      <c r="F125" s="27" t="n"/>
      <c r="G125" s="27" t="n"/>
      <c r="H125" s="30" t="n"/>
      <c r="I125" s="27" t="n"/>
      <c r="J125" s="18">
        <f>IF(OR(F125="",G125=""),"",F125*G125)</f>
        <v/>
      </c>
      <c r="K125" s="34">
        <f>IF(J125="","",J125*N(H125))</f>
        <v/>
      </c>
      <c r="L125" s="19">
        <f>IF(J125="","",IFERROR(IF(INDEX(Rutina!$I$8:$I$37,MATCH(D125,Rutina!$C$8:$C$37,0))&gt;0,K125/INDEX(Rutina!$K$8:$K$37,MATCH(D125,Rutina!$C$8:$C$37,0)),J125/INDEX(Rutina!$J$8:$J$37,MATCH(D125,Rutina!$C$8:$C$37,0))),""))</f>
        <v/>
      </c>
      <c r="M125" s="33">
        <f>IF(L125="","",IF(L125&gt;1.02,"Superado",IF(L125&gt;=Rutina!$H$5,"Cumplido","Por debajo")))</f>
        <v/>
      </c>
      <c r="N125" s="31">
        <f>IF(OR(J125="",N(H125)=0),"",ROUND(H125*(1+G125/30),1))</f>
        <v/>
      </c>
      <c r="O125" s="29" t="n"/>
      <c r="P125" s="35">
        <f>IF(B125="","",IF(COUNTIF($B$8:B125,B125)=1,1,0))</f>
        <v/>
      </c>
    </row>
    <row r="126">
      <c r="B126" s="32" t="n"/>
      <c r="C126" s="33">
        <f>IF(B126="","",MID("LunMarMiéJueVieSábDom",(WEEKDAY(B126,2)-1)*3+1,3))</f>
        <v/>
      </c>
      <c r="D126" s="29" t="n"/>
      <c r="E126" s="33">
        <f>IF(D126="","",IFERROR(INDEX(Rutina!$D$8:$D$37,MATCH(D126,Rutina!$C$8:$C$37,0)),"¿En la rutina?"))</f>
        <v/>
      </c>
      <c r="F126" s="27" t="n"/>
      <c r="G126" s="27" t="n"/>
      <c r="H126" s="30" t="n"/>
      <c r="I126" s="27" t="n"/>
      <c r="J126" s="18">
        <f>IF(OR(F126="",G126=""),"",F126*G126)</f>
        <v/>
      </c>
      <c r="K126" s="34">
        <f>IF(J126="","",J126*N(H126))</f>
        <v/>
      </c>
      <c r="L126" s="19">
        <f>IF(J126="","",IFERROR(IF(INDEX(Rutina!$I$8:$I$37,MATCH(D126,Rutina!$C$8:$C$37,0))&gt;0,K126/INDEX(Rutina!$K$8:$K$37,MATCH(D126,Rutina!$C$8:$C$37,0)),J126/INDEX(Rutina!$J$8:$J$37,MATCH(D126,Rutina!$C$8:$C$37,0))),""))</f>
        <v/>
      </c>
      <c r="M126" s="33">
        <f>IF(L126="","",IF(L126&gt;1.02,"Superado",IF(L126&gt;=Rutina!$H$5,"Cumplido","Por debajo")))</f>
        <v/>
      </c>
      <c r="N126" s="31">
        <f>IF(OR(J126="",N(H126)=0),"",ROUND(H126*(1+G126/30),1))</f>
        <v/>
      </c>
      <c r="O126" s="29" t="n"/>
      <c r="P126" s="35">
        <f>IF(B126="","",IF(COUNTIF($B$8:B126,B126)=1,1,0))</f>
        <v/>
      </c>
    </row>
    <row r="127">
      <c r="B127" s="32" t="n"/>
      <c r="C127" s="33">
        <f>IF(B127="","",MID("LunMarMiéJueVieSábDom",(WEEKDAY(B127,2)-1)*3+1,3))</f>
        <v/>
      </c>
      <c r="D127" s="29" t="n"/>
      <c r="E127" s="33">
        <f>IF(D127="","",IFERROR(INDEX(Rutina!$D$8:$D$37,MATCH(D127,Rutina!$C$8:$C$37,0)),"¿En la rutina?"))</f>
        <v/>
      </c>
      <c r="F127" s="27" t="n"/>
      <c r="G127" s="27" t="n"/>
      <c r="H127" s="30" t="n"/>
      <c r="I127" s="27" t="n"/>
      <c r="J127" s="18">
        <f>IF(OR(F127="",G127=""),"",F127*G127)</f>
        <v/>
      </c>
      <c r="K127" s="34">
        <f>IF(J127="","",J127*N(H127))</f>
        <v/>
      </c>
      <c r="L127" s="19">
        <f>IF(J127="","",IFERROR(IF(INDEX(Rutina!$I$8:$I$37,MATCH(D127,Rutina!$C$8:$C$37,0))&gt;0,K127/INDEX(Rutina!$K$8:$K$37,MATCH(D127,Rutina!$C$8:$C$37,0)),J127/INDEX(Rutina!$J$8:$J$37,MATCH(D127,Rutina!$C$8:$C$37,0))),""))</f>
        <v/>
      </c>
      <c r="M127" s="33">
        <f>IF(L127="","",IF(L127&gt;1.02,"Superado",IF(L127&gt;=Rutina!$H$5,"Cumplido","Por debajo")))</f>
        <v/>
      </c>
      <c r="N127" s="31">
        <f>IF(OR(J127="",N(H127)=0),"",ROUND(H127*(1+G127/30),1))</f>
        <v/>
      </c>
      <c r="O127" s="29" t="n"/>
      <c r="P127" s="35">
        <f>IF(B127="","",IF(COUNTIF($B$8:B127,B127)=1,1,0))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C8:C127">
    <cfRule type="expression" priority="1" dxfId="2">
      <formula>MOD(ROW(),2)=0</formula>
    </cfRule>
  </conditionalFormatting>
  <conditionalFormatting sqref="J8:P127">
    <cfRule type="expression" priority="2" dxfId="2">
      <formula>MOD(ROW(),2)=0</formula>
    </cfRule>
  </conditionalFormatting>
  <conditionalFormatting sqref="M8:M127">
    <cfRule type="cellIs" priority="3" operator="equal" dxfId="0">
      <formula>"Superado"</formula>
    </cfRule>
    <cfRule type="cellIs" priority="4" operator="equal" dxfId="3">
      <formula>"Cumplido"</formula>
    </cfRule>
    <cfRule type="cellIs" priority="5" operator="equal" dxfId="1">
      <formula>"Por debajo"</formula>
    </cfRule>
  </conditionalFormatting>
  <conditionalFormatting sqref="K8:K127">
    <cfRule type="dataBar" priority="6">
      <dataBar>
        <cfvo type="num" val="0"/>
        <cfvo type="max"/>
        <color rgb="0010B981"/>
      </dataBar>
    </cfRule>
  </conditionalFormatting>
  <dataValidations count="5">
    <dataValidation sqref="D8:D127" showDropDown="0" showInputMessage="0" showErrorMessage="0" allowBlank="1" type="list">
      <formula1>=Rutina!$C$8:$C$37</formula1>
    </dataValidation>
    <dataValidation sqref="B8:B127" showDropDown="0" showInputMessage="0" showErrorMessage="1" allowBlank="1" errorTitle="Fecha no válida" error="Escribe una fecha, por ejemplo 21/09/2026." type="date" operator="greaterThan">
      <formula1>36526</formula1>
    </dataValidation>
    <dataValidation sqref="F8:G127" showDropDown="0" showInputMessage="0" showErrorMessage="1" allowBlank="1" errorTitle="Valor no válido" error="Escribe un número entero de 1 a 30." type="whole" operator="between">
      <formula1>1</formula1>
      <formula2>30</formula2>
    </dataValidation>
    <dataValidation sqref="H8:H127" showDropDown="0" showInputMessage="0" showErrorMessage="1" allowBlank="1" errorTitle="Peso no válido" error="Escribe el peso usado en kg (0 si solo usas tu peso corporal)." type="decimal" operator="between">
      <formula1>0</formula1>
      <formula2>500</formula2>
    </dataValidation>
    <dataValidation sqref="I8:I127" showDropDown="0" showInputMessage="0" showErrorMessage="1" allowBlank="1" errorTitle="Valor no válido" error="Escribe una sensación de esfuerzo de 1 a 10." type="whole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N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5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2" ht="34" customHeight="1">
      <c r="B2" s="1" t="inlineStr">
        <is>
          <t>Progreso por ejercicio</t>
        </is>
      </c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</row>
    <row r="3">
      <c r="B3" s="2" t="inlineStr">
        <is>
          <t>Compara tu primera y tu última sesión de cada ejercicio de la rutina. Se actualiza solo desde el Registro.</t>
        </is>
      </c>
    </row>
    <row r="7" ht="34" customHeight="1">
      <c r="B7" s="14" t="inlineStr">
        <is>
          <t>Ejercicio</t>
        </is>
      </c>
      <c r="C7" s="14" t="inlineStr">
        <is>
          <t>Grupo</t>
        </is>
      </c>
      <c r="D7" s="14" t="inlineStr">
        <is>
          <t>Sesiones</t>
        </is>
      </c>
      <c r="E7" s="14" t="inlineStr">
        <is>
          <t>Peso inicial (kg)</t>
        </is>
      </c>
      <c r="F7" s="14" t="inlineStr">
        <is>
          <t>Peso actual (kg)</t>
        </is>
      </c>
      <c r="G7" s="14" t="inlineStr">
        <is>
          <t>Mejor peso (kg)</t>
        </is>
      </c>
      <c r="H7" s="14" t="inlineStr">
        <is>
          <t>Cambio (kg)</t>
        </is>
      </c>
      <c r="I7" s="14" t="inlineStr">
        <is>
          <t>Reps totales</t>
        </is>
      </c>
      <c r="J7" s="14" t="inlineStr">
        <is>
          <t>Volumen total (kg)</t>
        </is>
      </c>
      <c r="K7" s="14" t="inlineStr">
        <is>
          <t>Mejor 1RM est.</t>
        </is>
      </c>
      <c r="L7" s="14" t="inlineStr">
        <is>
          <t>% obj. 1ª vez</t>
        </is>
      </c>
      <c r="M7" s="14" t="inlineStr">
        <is>
          <t>% obj. última</t>
        </is>
      </c>
      <c r="N7" s="14" t="inlineStr">
        <is>
          <t>Tendencia</t>
        </is>
      </c>
    </row>
    <row r="8">
      <c r="B8" s="36">
        <f>IF(Rutina!C8="","",Rutina!C8)</f>
        <v/>
      </c>
      <c r="C8" s="33">
        <f>IF(B8="","",Rutina!D8)</f>
        <v/>
      </c>
      <c r="D8" s="17">
        <f>IF(B8="","",COUNTIF(Registro!$D$8:$D$127,B8))</f>
        <v/>
      </c>
      <c r="E8" s="31">
        <f>IF(OR(B8="",N(D8)=0),"",INDEX(Registro!$H$8:$H$127,MATCH(B8,Registro!$D$8:$D$127,0)))</f>
        <v/>
      </c>
      <c r="F8" s="31">
        <f>IF(OR(B8="",N(D8)=0),"",INDEX(Registro!$H$1:$H$127,SUMPRODUCT(MAX((Registro!$D$8:$D$127=B8)*ROW(Registro!$D$8:$D$127)))))</f>
        <v/>
      </c>
      <c r="G8" s="31">
        <f>IF(OR(B8="",N(D8)=0),"",SUMPRODUCT(MAX((Registro!$D$8:$D$127=B8)*Registro!$H$8:$H$127)))</f>
        <v/>
      </c>
      <c r="H8" s="37">
        <f>IF(N(D8)&lt;2,"",F8-E8)</f>
        <v/>
      </c>
      <c r="I8" s="18">
        <f>IF(B8="","",SUMIF(Registro!$D$8:$D$127,B8,Registro!$J$8:$J$127))</f>
        <v/>
      </c>
      <c r="J8" s="18">
        <f>IF(B8="","",SUMIF(Registro!$D$8:$D$127,B8,Registro!$K$8:$K$127))</f>
        <v/>
      </c>
      <c r="K8" s="31">
        <f>IF(OR(B8="",N(D8)=0),"",ROUND(SUMPRODUCT(MAX((Registro!$D$8:$D$127=B8)*Registro!$H$8:$H$127*(1+Registro!$G$8:$G$127/30))),1))</f>
        <v/>
      </c>
      <c r="L8" s="19">
        <f>IF(OR(B8="",N(D8)=0),"",INDEX(Registro!$L$8:$L$127,MATCH(B8,Registro!$D$8:$D$127,0)))</f>
        <v/>
      </c>
      <c r="M8" s="19">
        <f>IF(OR(B8="",N(D8)=0),"",INDEX(Registro!$L$1:$L$127,SUMPRODUCT(MAX((Registro!$D$8:$D$127=B8)*ROW(Registro!$D$8:$D$127)))))</f>
        <v/>
      </c>
      <c r="N8" s="33">
        <f>IF(B8="","",IF(D8&lt;2,"Sin datos",IF(M8&gt;L8+0.02,"Mejora",IF(M8&lt;L8-0.02,"Baja","Estable"))))</f>
        <v/>
      </c>
    </row>
    <row r="9">
      <c r="B9" s="36">
        <f>IF(Rutina!C9="","",Rutina!C9)</f>
        <v/>
      </c>
      <c r="C9" s="33">
        <f>IF(B9="","",Rutina!D9)</f>
        <v/>
      </c>
      <c r="D9" s="17">
        <f>IF(B9="","",COUNTIF(Registro!$D$8:$D$127,B9))</f>
        <v/>
      </c>
      <c r="E9" s="31">
        <f>IF(OR(B9="",N(D9)=0),"",INDEX(Registro!$H$8:$H$127,MATCH(B9,Registro!$D$8:$D$127,0)))</f>
        <v/>
      </c>
      <c r="F9" s="31">
        <f>IF(OR(B9="",N(D9)=0),"",INDEX(Registro!$H$1:$H$127,SUMPRODUCT(MAX((Registro!$D$8:$D$127=B9)*ROW(Registro!$D$8:$D$127)))))</f>
        <v/>
      </c>
      <c r="G9" s="31">
        <f>IF(OR(B9="",N(D9)=0),"",SUMPRODUCT(MAX((Registro!$D$8:$D$127=B9)*Registro!$H$8:$H$127)))</f>
        <v/>
      </c>
      <c r="H9" s="37">
        <f>IF(N(D9)&lt;2,"",F9-E9)</f>
        <v/>
      </c>
      <c r="I9" s="18">
        <f>IF(B9="","",SUMIF(Registro!$D$8:$D$127,B9,Registro!$J$8:$J$127))</f>
        <v/>
      </c>
      <c r="J9" s="18">
        <f>IF(B9="","",SUMIF(Registro!$D$8:$D$127,B9,Registro!$K$8:$K$127))</f>
        <v/>
      </c>
      <c r="K9" s="31">
        <f>IF(OR(B9="",N(D9)=0),"",ROUND(SUMPRODUCT(MAX((Registro!$D$8:$D$127=B9)*Registro!$H$8:$H$127*(1+Registro!$G$8:$G$127/30))),1))</f>
        <v/>
      </c>
      <c r="L9" s="19">
        <f>IF(OR(B9="",N(D9)=0),"",INDEX(Registro!$L$8:$L$127,MATCH(B9,Registro!$D$8:$D$127,0)))</f>
        <v/>
      </c>
      <c r="M9" s="19">
        <f>IF(OR(B9="",N(D9)=0),"",INDEX(Registro!$L$1:$L$127,SUMPRODUCT(MAX((Registro!$D$8:$D$127=B9)*ROW(Registro!$D$8:$D$127)))))</f>
        <v/>
      </c>
      <c r="N9" s="33">
        <f>IF(B9="","",IF(D9&lt;2,"Sin datos",IF(M9&gt;L9+0.02,"Mejora",IF(M9&lt;L9-0.02,"Baja","Estable"))))</f>
        <v/>
      </c>
    </row>
    <row r="10">
      <c r="B10" s="36">
        <f>IF(Rutina!C10="","",Rutina!C10)</f>
        <v/>
      </c>
      <c r="C10" s="33">
        <f>IF(B10="","",Rutina!D10)</f>
        <v/>
      </c>
      <c r="D10" s="17">
        <f>IF(B10="","",COUNTIF(Registro!$D$8:$D$127,B10))</f>
        <v/>
      </c>
      <c r="E10" s="31">
        <f>IF(OR(B10="",N(D10)=0),"",INDEX(Registro!$H$8:$H$127,MATCH(B10,Registro!$D$8:$D$127,0)))</f>
        <v/>
      </c>
      <c r="F10" s="31">
        <f>IF(OR(B10="",N(D10)=0),"",INDEX(Registro!$H$1:$H$127,SUMPRODUCT(MAX((Registro!$D$8:$D$127=B10)*ROW(Registro!$D$8:$D$127)))))</f>
        <v/>
      </c>
      <c r="G10" s="31">
        <f>IF(OR(B10="",N(D10)=0),"",SUMPRODUCT(MAX((Registro!$D$8:$D$127=B10)*Registro!$H$8:$H$127)))</f>
        <v/>
      </c>
      <c r="H10" s="37">
        <f>IF(N(D10)&lt;2,"",F10-E10)</f>
        <v/>
      </c>
      <c r="I10" s="18">
        <f>IF(B10="","",SUMIF(Registro!$D$8:$D$127,B10,Registro!$J$8:$J$127))</f>
        <v/>
      </c>
      <c r="J10" s="18">
        <f>IF(B10="","",SUMIF(Registro!$D$8:$D$127,B10,Registro!$K$8:$K$127))</f>
        <v/>
      </c>
      <c r="K10" s="31">
        <f>IF(OR(B10="",N(D10)=0),"",ROUND(SUMPRODUCT(MAX((Registro!$D$8:$D$127=B10)*Registro!$H$8:$H$127*(1+Registro!$G$8:$G$127/30))),1))</f>
        <v/>
      </c>
      <c r="L10" s="19">
        <f>IF(OR(B10="",N(D10)=0),"",INDEX(Registro!$L$8:$L$127,MATCH(B10,Registro!$D$8:$D$127,0)))</f>
        <v/>
      </c>
      <c r="M10" s="19">
        <f>IF(OR(B10="",N(D10)=0),"",INDEX(Registro!$L$1:$L$127,SUMPRODUCT(MAX((Registro!$D$8:$D$127=B10)*ROW(Registro!$D$8:$D$127)))))</f>
        <v/>
      </c>
      <c r="N10" s="33">
        <f>IF(B10="","",IF(D10&lt;2,"Sin datos",IF(M10&gt;L10+0.02,"Mejora",IF(M10&lt;L10-0.02,"Baja","Estable"))))</f>
        <v/>
      </c>
    </row>
    <row r="11">
      <c r="B11" s="36">
        <f>IF(Rutina!C11="","",Rutina!C11)</f>
        <v/>
      </c>
      <c r="C11" s="33">
        <f>IF(B11="","",Rutina!D11)</f>
        <v/>
      </c>
      <c r="D11" s="17">
        <f>IF(B11="","",COUNTIF(Registro!$D$8:$D$127,B11))</f>
        <v/>
      </c>
      <c r="E11" s="31">
        <f>IF(OR(B11="",N(D11)=0),"",INDEX(Registro!$H$8:$H$127,MATCH(B11,Registro!$D$8:$D$127,0)))</f>
        <v/>
      </c>
      <c r="F11" s="31">
        <f>IF(OR(B11="",N(D11)=0),"",INDEX(Registro!$H$1:$H$127,SUMPRODUCT(MAX((Registro!$D$8:$D$127=B11)*ROW(Registro!$D$8:$D$127)))))</f>
        <v/>
      </c>
      <c r="G11" s="31">
        <f>IF(OR(B11="",N(D11)=0),"",SUMPRODUCT(MAX((Registro!$D$8:$D$127=B11)*Registro!$H$8:$H$127)))</f>
        <v/>
      </c>
      <c r="H11" s="37">
        <f>IF(N(D11)&lt;2,"",F11-E11)</f>
        <v/>
      </c>
      <c r="I11" s="18">
        <f>IF(B11="","",SUMIF(Registro!$D$8:$D$127,B11,Registro!$J$8:$J$127))</f>
        <v/>
      </c>
      <c r="J11" s="18">
        <f>IF(B11="","",SUMIF(Registro!$D$8:$D$127,B11,Registro!$K$8:$K$127))</f>
        <v/>
      </c>
      <c r="K11" s="31">
        <f>IF(OR(B11="",N(D11)=0),"",ROUND(SUMPRODUCT(MAX((Registro!$D$8:$D$127=B11)*Registro!$H$8:$H$127*(1+Registro!$G$8:$G$127/30))),1))</f>
        <v/>
      </c>
      <c r="L11" s="19">
        <f>IF(OR(B11="",N(D11)=0),"",INDEX(Registro!$L$8:$L$127,MATCH(B11,Registro!$D$8:$D$127,0)))</f>
        <v/>
      </c>
      <c r="M11" s="19">
        <f>IF(OR(B11="",N(D11)=0),"",INDEX(Registro!$L$1:$L$127,SUMPRODUCT(MAX((Registro!$D$8:$D$127=B11)*ROW(Registro!$D$8:$D$127)))))</f>
        <v/>
      </c>
      <c r="N11" s="33">
        <f>IF(B11="","",IF(D11&lt;2,"Sin datos",IF(M11&gt;L11+0.02,"Mejora",IF(M11&lt;L11-0.02,"Baja","Estable"))))</f>
        <v/>
      </c>
    </row>
    <row r="12">
      <c r="B12" s="36">
        <f>IF(Rutina!C12="","",Rutina!C12)</f>
        <v/>
      </c>
      <c r="C12" s="33">
        <f>IF(B12="","",Rutina!D12)</f>
        <v/>
      </c>
      <c r="D12" s="17">
        <f>IF(B12="","",COUNTIF(Registro!$D$8:$D$127,B12))</f>
        <v/>
      </c>
      <c r="E12" s="31">
        <f>IF(OR(B12="",N(D12)=0),"",INDEX(Registro!$H$8:$H$127,MATCH(B12,Registro!$D$8:$D$127,0)))</f>
        <v/>
      </c>
      <c r="F12" s="31">
        <f>IF(OR(B12="",N(D12)=0),"",INDEX(Registro!$H$1:$H$127,SUMPRODUCT(MAX((Registro!$D$8:$D$127=B12)*ROW(Registro!$D$8:$D$127)))))</f>
        <v/>
      </c>
      <c r="G12" s="31">
        <f>IF(OR(B12="",N(D12)=0),"",SUMPRODUCT(MAX((Registro!$D$8:$D$127=B12)*Registro!$H$8:$H$127)))</f>
        <v/>
      </c>
      <c r="H12" s="37">
        <f>IF(N(D12)&lt;2,"",F12-E12)</f>
        <v/>
      </c>
      <c r="I12" s="18">
        <f>IF(B12="","",SUMIF(Registro!$D$8:$D$127,B12,Registro!$J$8:$J$127))</f>
        <v/>
      </c>
      <c r="J12" s="18">
        <f>IF(B12="","",SUMIF(Registro!$D$8:$D$127,B12,Registro!$K$8:$K$127))</f>
        <v/>
      </c>
      <c r="K12" s="31">
        <f>IF(OR(B12="",N(D12)=0),"",ROUND(SUMPRODUCT(MAX((Registro!$D$8:$D$127=B12)*Registro!$H$8:$H$127*(1+Registro!$G$8:$G$127/30))),1))</f>
        <v/>
      </c>
      <c r="L12" s="19">
        <f>IF(OR(B12="",N(D12)=0),"",INDEX(Registro!$L$8:$L$127,MATCH(B12,Registro!$D$8:$D$127,0)))</f>
        <v/>
      </c>
      <c r="M12" s="19">
        <f>IF(OR(B12="",N(D12)=0),"",INDEX(Registro!$L$1:$L$127,SUMPRODUCT(MAX((Registro!$D$8:$D$127=B12)*ROW(Registro!$D$8:$D$127)))))</f>
        <v/>
      </c>
      <c r="N12" s="33">
        <f>IF(B12="","",IF(D12&lt;2,"Sin datos",IF(M12&gt;L12+0.02,"Mejora",IF(M12&lt;L12-0.02,"Baja","Estable"))))</f>
        <v/>
      </c>
    </row>
    <row r="13">
      <c r="B13" s="36">
        <f>IF(Rutina!C13="","",Rutina!C13)</f>
        <v/>
      </c>
      <c r="C13" s="33">
        <f>IF(B13="","",Rutina!D13)</f>
        <v/>
      </c>
      <c r="D13" s="17">
        <f>IF(B13="","",COUNTIF(Registro!$D$8:$D$127,B13))</f>
        <v/>
      </c>
      <c r="E13" s="31">
        <f>IF(OR(B13="",N(D13)=0),"",INDEX(Registro!$H$8:$H$127,MATCH(B13,Registro!$D$8:$D$127,0)))</f>
        <v/>
      </c>
      <c r="F13" s="31">
        <f>IF(OR(B13="",N(D13)=0),"",INDEX(Registro!$H$1:$H$127,SUMPRODUCT(MAX((Registro!$D$8:$D$127=B13)*ROW(Registro!$D$8:$D$127)))))</f>
        <v/>
      </c>
      <c r="G13" s="31">
        <f>IF(OR(B13="",N(D13)=0),"",SUMPRODUCT(MAX((Registro!$D$8:$D$127=B13)*Registro!$H$8:$H$127)))</f>
        <v/>
      </c>
      <c r="H13" s="37">
        <f>IF(N(D13)&lt;2,"",F13-E13)</f>
        <v/>
      </c>
      <c r="I13" s="18">
        <f>IF(B13="","",SUMIF(Registro!$D$8:$D$127,B13,Registro!$J$8:$J$127))</f>
        <v/>
      </c>
      <c r="J13" s="18">
        <f>IF(B13="","",SUMIF(Registro!$D$8:$D$127,B13,Registro!$K$8:$K$127))</f>
        <v/>
      </c>
      <c r="K13" s="31">
        <f>IF(OR(B13="",N(D13)=0),"",ROUND(SUMPRODUCT(MAX((Registro!$D$8:$D$127=B13)*Registro!$H$8:$H$127*(1+Registro!$G$8:$G$127/30))),1))</f>
        <v/>
      </c>
      <c r="L13" s="19">
        <f>IF(OR(B13="",N(D13)=0),"",INDEX(Registro!$L$8:$L$127,MATCH(B13,Registro!$D$8:$D$127,0)))</f>
        <v/>
      </c>
      <c r="M13" s="19">
        <f>IF(OR(B13="",N(D13)=0),"",INDEX(Registro!$L$1:$L$127,SUMPRODUCT(MAX((Registro!$D$8:$D$127=B13)*ROW(Registro!$D$8:$D$127)))))</f>
        <v/>
      </c>
      <c r="N13" s="33">
        <f>IF(B13="","",IF(D13&lt;2,"Sin datos",IF(M13&gt;L13+0.02,"Mejora",IF(M13&lt;L13-0.02,"Baja","Estable"))))</f>
        <v/>
      </c>
    </row>
    <row r="14">
      <c r="B14" s="36">
        <f>IF(Rutina!C14="","",Rutina!C14)</f>
        <v/>
      </c>
      <c r="C14" s="33">
        <f>IF(B14="","",Rutina!D14)</f>
        <v/>
      </c>
      <c r="D14" s="17">
        <f>IF(B14="","",COUNTIF(Registro!$D$8:$D$127,B14))</f>
        <v/>
      </c>
      <c r="E14" s="31">
        <f>IF(OR(B14="",N(D14)=0),"",INDEX(Registro!$H$8:$H$127,MATCH(B14,Registro!$D$8:$D$127,0)))</f>
        <v/>
      </c>
      <c r="F14" s="31">
        <f>IF(OR(B14="",N(D14)=0),"",INDEX(Registro!$H$1:$H$127,SUMPRODUCT(MAX((Registro!$D$8:$D$127=B14)*ROW(Registro!$D$8:$D$127)))))</f>
        <v/>
      </c>
      <c r="G14" s="31">
        <f>IF(OR(B14="",N(D14)=0),"",SUMPRODUCT(MAX((Registro!$D$8:$D$127=B14)*Registro!$H$8:$H$127)))</f>
        <v/>
      </c>
      <c r="H14" s="37">
        <f>IF(N(D14)&lt;2,"",F14-E14)</f>
        <v/>
      </c>
      <c r="I14" s="18">
        <f>IF(B14="","",SUMIF(Registro!$D$8:$D$127,B14,Registro!$J$8:$J$127))</f>
        <v/>
      </c>
      <c r="J14" s="18">
        <f>IF(B14="","",SUMIF(Registro!$D$8:$D$127,B14,Registro!$K$8:$K$127))</f>
        <v/>
      </c>
      <c r="K14" s="31">
        <f>IF(OR(B14="",N(D14)=0),"",ROUND(SUMPRODUCT(MAX((Registro!$D$8:$D$127=B14)*Registro!$H$8:$H$127*(1+Registro!$G$8:$G$127/30))),1))</f>
        <v/>
      </c>
      <c r="L14" s="19">
        <f>IF(OR(B14="",N(D14)=0),"",INDEX(Registro!$L$8:$L$127,MATCH(B14,Registro!$D$8:$D$127,0)))</f>
        <v/>
      </c>
      <c r="M14" s="19">
        <f>IF(OR(B14="",N(D14)=0),"",INDEX(Registro!$L$1:$L$127,SUMPRODUCT(MAX((Registro!$D$8:$D$127=B14)*ROW(Registro!$D$8:$D$127)))))</f>
        <v/>
      </c>
      <c r="N14" s="33">
        <f>IF(B14="","",IF(D14&lt;2,"Sin datos",IF(M14&gt;L14+0.02,"Mejora",IF(M14&lt;L14-0.02,"Baja","Estable"))))</f>
        <v/>
      </c>
    </row>
    <row r="15">
      <c r="B15" s="36">
        <f>IF(Rutina!C15="","",Rutina!C15)</f>
        <v/>
      </c>
      <c r="C15" s="33">
        <f>IF(B15="","",Rutina!D15)</f>
        <v/>
      </c>
      <c r="D15" s="17">
        <f>IF(B15="","",COUNTIF(Registro!$D$8:$D$127,B15))</f>
        <v/>
      </c>
      <c r="E15" s="31">
        <f>IF(OR(B15="",N(D15)=0),"",INDEX(Registro!$H$8:$H$127,MATCH(B15,Registro!$D$8:$D$127,0)))</f>
        <v/>
      </c>
      <c r="F15" s="31">
        <f>IF(OR(B15="",N(D15)=0),"",INDEX(Registro!$H$1:$H$127,SUMPRODUCT(MAX((Registro!$D$8:$D$127=B15)*ROW(Registro!$D$8:$D$127)))))</f>
        <v/>
      </c>
      <c r="G15" s="31">
        <f>IF(OR(B15="",N(D15)=0),"",SUMPRODUCT(MAX((Registro!$D$8:$D$127=B15)*Registro!$H$8:$H$127)))</f>
        <v/>
      </c>
      <c r="H15" s="37">
        <f>IF(N(D15)&lt;2,"",F15-E15)</f>
        <v/>
      </c>
      <c r="I15" s="18">
        <f>IF(B15="","",SUMIF(Registro!$D$8:$D$127,B15,Registro!$J$8:$J$127))</f>
        <v/>
      </c>
      <c r="J15" s="18">
        <f>IF(B15="","",SUMIF(Registro!$D$8:$D$127,B15,Registro!$K$8:$K$127))</f>
        <v/>
      </c>
      <c r="K15" s="31">
        <f>IF(OR(B15="",N(D15)=0),"",ROUND(SUMPRODUCT(MAX((Registro!$D$8:$D$127=B15)*Registro!$H$8:$H$127*(1+Registro!$G$8:$G$127/30))),1))</f>
        <v/>
      </c>
      <c r="L15" s="19">
        <f>IF(OR(B15="",N(D15)=0),"",INDEX(Registro!$L$8:$L$127,MATCH(B15,Registro!$D$8:$D$127,0)))</f>
        <v/>
      </c>
      <c r="M15" s="19">
        <f>IF(OR(B15="",N(D15)=0),"",INDEX(Registro!$L$1:$L$127,SUMPRODUCT(MAX((Registro!$D$8:$D$127=B15)*ROW(Registro!$D$8:$D$127)))))</f>
        <v/>
      </c>
      <c r="N15" s="33">
        <f>IF(B15="","",IF(D15&lt;2,"Sin datos",IF(M15&gt;L15+0.02,"Mejora",IF(M15&lt;L15-0.02,"Baja","Estable"))))</f>
        <v/>
      </c>
    </row>
    <row r="16">
      <c r="B16" s="36">
        <f>IF(Rutina!C16="","",Rutina!C16)</f>
        <v/>
      </c>
      <c r="C16" s="33">
        <f>IF(B16="","",Rutina!D16)</f>
        <v/>
      </c>
      <c r="D16" s="17">
        <f>IF(B16="","",COUNTIF(Registro!$D$8:$D$127,B16))</f>
        <v/>
      </c>
      <c r="E16" s="31">
        <f>IF(OR(B16="",N(D16)=0),"",INDEX(Registro!$H$8:$H$127,MATCH(B16,Registro!$D$8:$D$127,0)))</f>
        <v/>
      </c>
      <c r="F16" s="31">
        <f>IF(OR(B16="",N(D16)=0),"",INDEX(Registro!$H$1:$H$127,SUMPRODUCT(MAX((Registro!$D$8:$D$127=B16)*ROW(Registro!$D$8:$D$127)))))</f>
        <v/>
      </c>
      <c r="G16" s="31">
        <f>IF(OR(B16="",N(D16)=0),"",SUMPRODUCT(MAX((Registro!$D$8:$D$127=B16)*Registro!$H$8:$H$127)))</f>
        <v/>
      </c>
      <c r="H16" s="37">
        <f>IF(N(D16)&lt;2,"",F16-E16)</f>
        <v/>
      </c>
      <c r="I16" s="18">
        <f>IF(B16="","",SUMIF(Registro!$D$8:$D$127,B16,Registro!$J$8:$J$127))</f>
        <v/>
      </c>
      <c r="J16" s="18">
        <f>IF(B16="","",SUMIF(Registro!$D$8:$D$127,B16,Registro!$K$8:$K$127))</f>
        <v/>
      </c>
      <c r="K16" s="31">
        <f>IF(OR(B16="",N(D16)=0),"",ROUND(SUMPRODUCT(MAX((Registro!$D$8:$D$127=B16)*Registro!$H$8:$H$127*(1+Registro!$G$8:$G$127/30))),1))</f>
        <v/>
      </c>
      <c r="L16" s="19">
        <f>IF(OR(B16="",N(D16)=0),"",INDEX(Registro!$L$8:$L$127,MATCH(B16,Registro!$D$8:$D$127,0)))</f>
        <v/>
      </c>
      <c r="M16" s="19">
        <f>IF(OR(B16="",N(D16)=0),"",INDEX(Registro!$L$1:$L$127,SUMPRODUCT(MAX((Registro!$D$8:$D$127=B16)*ROW(Registro!$D$8:$D$127)))))</f>
        <v/>
      </c>
      <c r="N16" s="33">
        <f>IF(B16="","",IF(D16&lt;2,"Sin datos",IF(M16&gt;L16+0.02,"Mejora",IF(M16&lt;L16-0.02,"Baja","Estable"))))</f>
        <v/>
      </c>
    </row>
    <row r="17">
      <c r="B17" s="36">
        <f>IF(Rutina!C17="","",Rutina!C17)</f>
        <v/>
      </c>
      <c r="C17" s="33">
        <f>IF(B17="","",Rutina!D17)</f>
        <v/>
      </c>
      <c r="D17" s="17">
        <f>IF(B17="","",COUNTIF(Registro!$D$8:$D$127,B17))</f>
        <v/>
      </c>
      <c r="E17" s="31">
        <f>IF(OR(B17="",N(D17)=0),"",INDEX(Registro!$H$8:$H$127,MATCH(B17,Registro!$D$8:$D$127,0)))</f>
        <v/>
      </c>
      <c r="F17" s="31">
        <f>IF(OR(B17="",N(D17)=0),"",INDEX(Registro!$H$1:$H$127,SUMPRODUCT(MAX((Registro!$D$8:$D$127=B17)*ROW(Registro!$D$8:$D$127)))))</f>
        <v/>
      </c>
      <c r="G17" s="31">
        <f>IF(OR(B17="",N(D17)=0),"",SUMPRODUCT(MAX((Registro!$D$8:$D$127=B17)*Registro!$H$8:$H$127)))</f>
        <v/>
      </c>
      <c r="H17" s="37">
        <f>IF(N(D17)&lt;2,"",F17-E17)</f>
        <v/>
      </c>
      <c r="I17" s="18">
        <f>IF(B17="","",SUMIF(Registro!$D$8:$D$127,B17,Registro!$J$8:$J$127))</f>
        <v/>
      </c>
      <c r="J17" s="18">
        <f>IF(B17="","",SUMIF(Registro!$D$8:$D$127,B17,Registro!$K$8:$K$127))</f>
        <v/>
      </c>
      <c r="K17" s="31">
        <f>IF(OR(B17="",N(D17)=0),"",ROUND(SUMPRODUCT(MAX((Registro!$D$8:$D$127=B17)*Registro!$H$8:$H$127*(1+Registro!$G$8:$G$127/30))),1))</f>
        <v/>
      </c>
      <c r="L17" s="19">
        <f>IF(OR(B17="",N(D17)=0),"",INDEX(Registro!$L$8:$L$127,MATCH(B17,Registro!$D$8:$D$127,0)))</f>
        <v/>
      </c>
      <c r="M17" s="19">
        <f>IF(OR(B17="",N(D17)=0),"",INDEX(Registro!$L$1:$L$127,SUMPRODUCT(MAX((Registro!$D$8:$D$127=B17)*ROW(Registro!$D$8:$D$127)))))</f>
        <v/>
      </c>
      <c r="N17" s="33">
        <f>IF(B17="","",IF(D17&lt;2,"Sin datos",IF(M17&gt;L17+0.02,"Mejora",IF(M17&lt;L17-0.02,"Baja","Estable"))))</f>
        <v/>
      </c>
    </row>
    <row r="18">
      <c r="B18" s="36">
        <f>IF(Rutina!C18="","",Rutina!C18)</f>
        <v/>
      </c>
      <c r="C18" s="33">
        <f>IF(B18="","",Rutina!D18)</f>
        <v/>
      </c>
      <c r="D18" s="17">
        <f>IF(B18="","",COUNTIF(Registro!$D$8:$D$127,B18))</f>
        <v/>
      </c>
      <c r="E18" s="31">
        <f>IF(OR(B18="",N(D18)=0),"",INDEX(Registro!$H$8:$H$127,MATCH(B18,Registro!$D$8:$D$127,0)))</f>
        <v/>
      </c>
      <c r="F18" s="31">
        <f>IF(OR(B18="",N(D18)=0),"",INDEX(Registro!$H$1:$H$127,SUMPRODUCT(MAX((Registro!$D$8:$D$127=B18)*ROW(Registro!$D$8:$D$127)))))</f>
        <v/>
      </c>
      <c r="G18" s="31">
        <f>IF(OR(B18="",N(D18)=0),"",SUMPRODUCT(MAX((Registro!$D$8:$D$127=B18)*Registro!$H$8:$H$127)))</f>
        <v/>
      </c>
      <c r="H18" s="37">
        <f>IF(N(D18)&lt;2,"",F18-E18)</f>
        <v/>
      </c>
      <c r="I18" s="18">
        <f>IF(B18="","",SUMIF(Registro!$D$8:$D$127,B18,Registro!$J$8:$J$127))</f>
        <v/>
      </c>
      <c r="J18" s="18">
        <f>IF(B18="","",SUMIF(Registro!$D$8:$D$127,B18,Registro!$K$8:$K$127))</f>
        <v/>
      </c>
      <c r="K18" s="31">
        <f>IF(OR(B18="",N(D18)=0),"",ROUND(SUMPRODUCT(MAX((Registro!$D$8:$D$127=B18)*Registro!$H$8:$H$127*(1+Registro!$G$8:$G$127/30))),1))</f>
        <v/>
      </c>
      <c r="L18" s="19">
        <f>IF(OR(B18="",N(D18)=0),"",INDEX(Registro!$L$8:$L$127,MATCH(B18,Registro!$D$8:$D$127,0)))</f>
        <v/>
      </c>
      <c r="M18" s="19">
        <f>IF(OR(B18="",N(D18)=0),"",INDEX(Registro!$L$1:$L$127,SUMPRODUCT(MAX((Registro!$D$8:$D$127=B18)*ROW(Registro!$D$8:$D$127)))))</f>
        <v/>
      </c>
      <c r="N18" s="33">
        <f>IF(B18="","",IF(D18&lt;2,"Sin datos",IF(M18&gt;L18+0.02,"Mejora",IF(M18&lt;L18-0.02,"Baja","Estable"))))</f>
        <v/>
      </c>
    </row>
    <row r="19">
      <c r="B19" s="36">
        <f>IF(Rutina!C19="","",Rutina!C19)</f>
        <v/>
      </c>
      <c r="C19" s="33">
        <f>IF(B19="","",Rutina!D19)</f>
        <v/>
      </c>
      <c r="D19" s="17">
        <f>IF(B19="","",COUNTIF(Registro!$D$8:$D$127,B19))</f>
        <v/>
      </c>
      <c r="E19" s="31">
        <f>IF(OR(B19="",N(D19)=0),"",INDEX(Registro!$H$8:$H$127,MATCH(B19,Registro!$D$8:$D$127,0)))</f>
        <v/>
      </c>
      <c r="F19" s="31">
        <f>IF(OR(B19="",N(D19)=0),"",INDEX(Registro!$H$1:$H$127,SUMPRODUCT(MAX((Registro!$D$8:$D$127=B19)*ROW(Registro!$D$8:$D$127)))))</f>
        <v/>
      </c>
      <c r="G19" s="31">
        <f>IF(OR(B19="",N(D19)=0),"",SUMPRODUCT(MAX((Registro!$D$8:$D$127=B19)*Registro!$H$8:$H$127)))</f>
        <v/>
      </c>
      <c r="H19" s="37">
        <f>IF(N(D19)&lt;2,"",F19-E19)</f>
        <v/>
      </c>
      <c r="I19" s="18">
        <f>IF(B19="","",SUMIF(Registro!$D$8:$D$127,B19,Registro!$J$8:$J$127))</f>
        <v/>
      </c>
      <c r="J19" s="18">
        <f>IF(B19="","",SUMIF(Registro!$D$8:$D$127,B19,Registro!$K$8:$K$127))</f>
        <v/>
      </c>
      <c r="K19" s="31">
        <f>IF(OR(B19="",N(D19)=0),"",ROUND(SUMPRODUCT(MAX((Registro!$D$8:$D$127=B19)*Registro!$H$8:$H$127*(1+Registro!$G$8:$G$127/30))),1))</f>
        <v/>
      </c>
      <c r="L19" s="19">
        <f>IF(OR(B19="",N(D19)=0),"",INDEX(Registro!$L$8:$L$127,MATCH(B19,Registro!$D$8:$D$127,0)))</f>
        <v/>
      </c>
      <c r="M19" s="19">
        <f>IF(OR(B19="",N(D19)=0),"",INDEX(Registro!$L$1:$L$127,SUMPRODUCT(MAX((Registro!$D$8:$D$127=B19)*ROW(Registro!$D$8:$D$127)))))</f>
        <v/>
      </c>
      <c r="N19" s="33">
        <f>IF(B19="","",IF(D19&lt;2,"Sin datos",IF(M19&gt;L19+0.02,"Mejora",IF(M19&lt;L19-0.02,"Baja","Estable"))))</f>
        <v/>
      </c>
    </row>
    <row r="20">
      <c r="B20" s="36">
        <f>IF(Rutina!C20="","",Rutina!C20)</f>
        <v/>
      </c>
      <c r="C20" s="33">
        <f>IF(B20="","",Rutina!D20)</f>
        <v/>
      </c>
      <c r="D20" s="17">
        <f>IF(B20="","",COUNTIF(Registro!$D$8:$D$127,B20))</f>
        <v/>
      </c>
      <c r="E20" s="31">
        <f>IF(OR(B20="",N(D20)=0),"",INDEX(Registro!$H$8:$H$127,MATCH(B20,Registro!$D$8:$D$127,0)))</f>
        <v/>
      </c>
      <c r="F20" s="31">
        <f>IF(OR(B20="",N(D20)=0),"",INDEX(Registro!$H$1:$H$127,SUMPRODUCT(MAX((Registro!$D$8:$D$127=B20)*ROW(Registro!$D$8:$D$127)))))</f>
        <v/>
      </c>
      <c r="G20" s="31">
        <f>IF(OR(B20="",N(D20)=0),"",SUMPRODUCT(MAX((Registro!$D$8:$D$127=B20)*Registro!$H$8:$H$127)))</f>
        <v/>
      </c>
      <c r="H20" s="37">
        <f>IF(N(D20)&lt;2,"",F20-E20)</f>
        <v/>
      </c>
      <c r="I20" s="18">
        <f>IF(B20="","",SUMIF(Registro!$D$8:$D$127,B20,Registro!$J$8:$J$127))</f>
        <v/>
      </c>
      <c r="J20" s="18">
        <f>IF(B20="","",SUMIF(Registro!$D$8:$D$127,B20,Registro!$K$8:$K$127))</f>
        <v/>
      </c>
      <c r="K20" s="31">
        <f>IF(OR(B20="",N(D20)=0),"",ROUND(SUMPRODUCT(MAX((Registro!$D$8:$D$127=B20)*Registro!$H$8:$H$127*(1+Registro!$G$8:$G$127/30))),1))</f>
        <v/>
      </c>
      <c r="L20" s="19">
        <f>IF(OR(B20="",N(D20)=0),"",INDEX(Registro!$L$8:$L$127,MATCH(B20,Registro!$D$8:$D$127,0)))</f>
        <v/>
      </c>
      <c r="M20" s="19">
        <f>IF(OR(B20="",N(D20)=0),"",INDEX(Registro!$L$1:$L$127,SUMPRODUCT(MAX((Registro!$D$8:$D$127=B20)*ROW(Registro!$D$8:$D$127)))))</f>
        <v/>
      </c>
      <c r="N20" s="33">
        <f>IF(B20="","",IF(D20&lt;2,"Sin datos",IF(M20&gt;L20+0.02,"Mejora",IF(M20&lt;L20-0.02,"Baja","Estable"))))</f>
        <v/>
      </c>
    </row>
    <row r="21">
      <c r="B21" s="36">
        <f>IF(Rutina!C21="","",Rutina!C21)</f>
        <v/>
      </c>
      <c r="C21" s="33">
        <f>IF(B21="","",Rutina!D21)</f>
        <v/>
      </c>
      <c r="D21" s="17">
        <f>IF(B21="","",COUNTIF(Registro!$D$8:$D$127,B21))</f>
        <v/>
      </c>
      <c r="E21" s="31">
        <f>IF(OR(B21="",N(D21)=0),"",INDEX(Registro!$H$8:$H$127,MATCH(B21,Registro!$D$8:$D$127,0)))</f>
        <v/>
      </c>
      <c r="F21" s="31">
        <f>IF(OR(B21="",N(D21)=0),"",INDEX(Registro!$H$1:$H$127,SUMPRODUCT(MAX((Registro!$D$8:$D$127=B21)*ROW(Registro!$D$8:$D$127)))))</f>
        <v/>
      </c>
      <c r="G21" s="31">
        <f>IF(OR(B21="",N(D21)=0),"",SUMPRODUCT(MAX((Registro!$D$8:$D$127=B21)*Registro!$H$8:$H$127)))</f>
        <v/>
      </c>
      <c r="H21" s="37">
        <f>IF(N(D21)&lt;2,"",F21-E21)</f>
        <v/>
      </c>
      <c r="I21" s="18">
        <f>IF(B21="","",SUMIF(Registro!$D$8:$D$127,B21,Registro!$J$8:$J$127))</f>
        <v/>
      </c>
      <c r="J21" s="18">
        <f>IF(B21="","",SUMIF(Registro!$D$8:$D$127,B21,Registro!$K$8:$K$127))</f>
        <v/>
      </c>
      <c r="K21" s="31">
        <f>IF(OR(B21="",N(D21)=0),"",ROUND(SUMPRODUCT(MAX((Registro!$D$8:$D$127=B21)*Registro!$H$8:$H$127*(1+Registro!$G$8:$G$127/30))),1))</f>
        <v/>
      </c>
      <c r="L21" s="19">
        <f>IF(OR(B21="",N(D21)=0),"",INDEX(Registro!$L$8:$L$127,MATCH(B21,Registro!$D$8:$D$127,0)))</f>
        <v/>
      </c>
      <c r="M21" s="19">
        <f>IF(OR(B21="",N(D21)=0),"",INDEX(Registro!$L$1:$L$127,SUMPRODUCT(MAX((Registro!$D$8:$D$127=B21)*ROW(Registro!$D$8:$D$127)))))</f>
        <v/>
      </c>
      <c r="N21" s="33">
        <f>IF(B21="","",IF(D21&lt;2,"Sin datos",IF(M21&gt;L21+0.02,"Mejora",IF(M21&lt;L21-0.02,"Baja","Estable"))))</f>
        <v/>
      </c>
    </row>
    <row r="22">
      <c r="B22" s="36">
        <f>IF(Rutina!C22="","",Rutina!C22)</f>
        <v/>
      </c>
      <c r="C22" s="33">
        <f>IF(B22="","",Rutina!D22)</f>
        <v/>
      </c>
      <c r="D22" s="17">
        <f>IF(B22="","",COUNTIF(Registro!$D$8:$D$127,B22))</f>
        <v/>
      </c>
      <c r="E22" s="31">
        <f>IF(OR(B22="",N(D22)=0),"",INDEX(Registro!$H$8:$H$127,MATCH(B22,Registro!$D$8:$D$127,0)))</f>
        <v/>
      </c>
      <c r="F22" s="31">
        <f>IF(OR(B22="",N(D22)=0),"",INDEX(Registro!$H$1:$H$127,SUMPRODUCT(MAX((Registro!$D$8:$D$127=B22)*ROW(Registro!$D$8:$D$127)))))</f>
        <v/>
      </c>
      <c r="G22" s="31">
        <f>IF(OR(B22="",N(D22)=0),"",SUMPRODUCT(MAX((Registro!$D$8:$D$127=B22)*Registro!$H$8:$H$127)))</f>
        <v/>
      </c>
      <c r="H22" s="37">
        <f>IF(N(D22)&lt;2,"",F22-E22)</f>
        <v/>
      </c>
      <c r="I22" s="18">
        <f>IF(B22="","",SUMIF(Registro!$D$8:$D$127,B22,Registro!$J$8:$J$127))</f>
        <v/>
      </c>
      <c r="J22" s="18">
        <f>IF(B22="","",SUMIF(Registro!$D$8:$D$127,B22,Registro!$K$8:$K$127))</f>
        <v/>
      </c>
      <c r="K22" s="31">
        <f>IF(OR(B22="",N(D22)=0),"",ROUND(SUMPRODUCT(MAX((Registro!$D$8:$D$127=B22)*Registro!$H$8:$H$127*(1+Registro!$G$8:$G$127/30))),1))</f>
        <v/>
      </c>
      <c r="L22" s="19">
        <f>IF(OR(B22="",N(D22)=0),"",INDEX(Registro!$L$8:$L$127,MATCH(B22,Registro!$D$8:$D$127,0)))</f>
        <v/>
      </c>
      <c r="M22" s="19">
        <f>IF(OR(B22="",N(D22)=0),"",INDEX(Registro!$L$1:$L$127,SUMPRODUCT(MAX((Registro!$D$8:$D$127=B22)*ROW(Registro!$D$8:$D$127)))))</f>
        <v/>
      </c>
      <c r="N22" s="33">
        <f>IF(B22="","",IF(D22&lt;2,"Sin datos",IF(M22&gt;L22+0.02,"Mejora",IF(M22&lt;L22-0.02,"Baja","Estable"))))</f>
        <v/>
      </c>
    </row>
    <row r="23">
      <c r="B23" s="36">
        <f>IF(Rutina!C23="","",Rutina!C23)</f>
        <v/>
      </c>
      <c r="C23" s="33">
        <f>IF(B23="","",Rutina!D23)</f>
        <v/>
      </c>
      <c r="D23" s="17">
        <f>IF(B23="","",COUNTIF(Registro!$D$8:$D$127,B23))</f>
        <v/>
      </c>
      <c r="E23" s="31">
        <f>IF(OR(B23="",N(D23)=0),"",INDEX(Registro!$H$8:$H$127,MATCH(B23,Registro!$D$8:$D$127,0)))</f>
        <v/>
      </c>
      <c r="F23" s="31">
        <f>IF(OR(B23="",N(D23)=0),"",INDEX(Registro!$H$1:$H$127,SUMPRODUCT(MAX((Registro!$D$8:$D$127=B23)*ROW(Registro!$D$8:$D$127)))))</f>
        <v/>
      </c>
      <c r="G23" s="31">
        <f>IF(OR(B23="",N(D23)=0),"",SUMPRODUCT(MAX((Registro!$D$8:$D$127=B23)*Registro!$H$8:$H$127)))</f>
        <v/>
      </c>
      <c r="H23" s="37">
        <f>IF(N(D23)&lt;2,"",F23-E23)</f>
        <v/>
      </c>
      <c r="I23" s="18">
        <f>IF(B23="","",SUMIF(Registro!$D$8:$D$127,B23,Registro!$J$8:$J$127))</f>
        <v/>
      </c>
      <c r="J23" s="18">
        <f>IF(B23="","",SUMIF(Registro!$D$8:$D$127,B23,Registro!$K$8:$K$127))</f>
        <v/>
      </c>
      <c r="K23" s="31">
        <f>IF(OR(B23="",N(D23)=0),"",ROUND(SUMPRODUCT(MAX((Registro!$D$8:$D$127=B23)*Registro!$H$8:$H$127*(1+Registro!$G$8:$G$127/30))),1))</f>
        <v/>
      </c>
      <c r="L23" s="19">
        <f>IF(OR(B23="",N(D23)=0),"",INDEX(Registro!$L$8:$L$127,MATCH(B23,Registro!$D$8:$D$127,0)))</f>
        <v/>
      </c>
      <c r="M23" s="19">
        <f>IF(OR(B23="",N(D23)=0),"",INDEX(Registro!$L$1:$L$127,SUMPRODUCT(MAX((Registro!$D$8:$D$127=B23)*ROW(Registro!$D$8:$D$127)))))</f>
        <v/>
      </c>
      <c r="N23" s="33">
        <f>IF(B23="","",IF(D23&lt;2,"Sin datos",IF(M23&gt;L23+0.02,"Mejora",IF(M23&lt;L23-0.02,"Baja","Estable"))))</f>
        <v/>
      </c>
    </row>
    <row r="24">
      <c r="B24" s="36">
        <f>IF(Rutina!C24="","",Rutina!C24)</f>
        <v/>
      </c>
      <c r="C24" s="33">
        <f>IF(B24="","",Rutina!D24)</f>
        <v/>
      </c>
      <c r="D24" s="17">
        <f>IF(B24="","",COUNTIF(Registro!$D$8:$D$127,B24))</f>
        <v/>
      </c>
      <c r="E24" s="31">
        <f>IF(OR(B24="",N(D24)=0),"",INDEX(Registro!$H$8:$H$127,MATCH(B24,Registro!$D$8:$D$127,0)))</f>
        <v/>
      </c>
      <c r="F24" s="31">
        <f>IF(OR(B24="",N(D24)=0),"",INDEX(Registro!$H$1:$H$127,SUMPRODUCT(MAX((Registro!$D$8:$D$127=B24)*ROW(Registro!$D$8:$D$127)))))</f>
        <v/>
      </c>
      <c r="G24" s="31">
        <f>IF(OR(B24="",N(D24)=0),"",SUMPRODUCT(MAX((Registro!$D$8:$D$127=B24)*Registro!$H$8:$H$127)))</f>
        <v/>
      </c>
      <c r="H24" s="37">
        <f>IF(N(D24)&lt;2,"",F24-E24)</f>
        <v/>
      </c>
      <c r="I24" s="18">
        <f>IF(B24="","",SUMIF(Registro!$D$8:$D$127,B24,Registro!$J$8:$J$127))</f>
        <v/>
      </c>
      <c r="J24" s="18">
        <f>IF(B24="","",SUMIF(Registro!$D$8:$D$127,B24,Registro!$K$8:$K$127))</f>
        <v/>
      </c>
      <c r="K24" s="31">
        <f>IF(OR(B24="",N(D24)=0),"",ROUND(SUMPRODUCT(MAX((Registro!$D$8:$D$127=B24)*Registro!$H$8:$H$127*(1+Registro!$G$8:$G$127/30))),1))</f>
        <v/>
      </c>
      <c r="L24" s="19">
        <f>IF(OR(B24="",N(D24)=0),"",INDEX(Registro!$L$8:$L$127,MATCH(B24,Registro!$D$8:$D$127,0)))</f>
        <v/>
      </c>
      <c r="M24" s="19">
        <f>IF(OR(B24="",N(D24)=0),"",INDEX(Registro!$L$1:$L$127,SUMPRODUCT(MAX((Registro!$D$8:$D$127=B24)*ROW(Registro!$D$8:$D$127)))))</f>
        <v/>
      </c>
      <c r="N24" s="33">
        <f>IF(B24="","",IF(D24&lt;2,"Sin datos",IF(M24&gt;L24+0.02,"Mejora",IF(M24&lt;L24-0.02,"Baja","Estable"))))</f>
        <v/>
      </c>
    </row>
    <row r="25">
      <c r="B25" s="36">
        <f>IF(Rutina!C25="","",Rutina!C25)</f>
        <v/>
      </c>
      <c r="C25" s="33">
        <f>IF(B25="","",Rutina!D25)</f>
        <v/>
      </c>
      <c r="D25" s="17">
        <f>IF(B25="","",COUNTIF(Registro!$D$8:$D$127,B25))</f>
        <v/>
      </c>
      <c r="E25" s="31">
        <f>IF(OR(B25="",N(D25)=0),"",INDEX(Registro!$H$8:$H$127,MATCH(B25,Registro!$D$8:$D$127,0)))</f>
        <v/>
      </c>
      <c r="F25" s="31">
        <f>IF(OR(B25="",N(D25)=0),"",INDEX(Registro!$H$1:$H$127,SUMPRODUCT(MAX((Registro!$D$8:$D$127=B25)*ROW(Registro!$D$8:$D$127)))))</f>
        <v/>
      </c>
      <c r="G25" s="31">
        <f>IF(OR(B25="",N(D25)=0),"",SUMPRODUCT(MAX((Registro!$D$8:$D$127=B25)*Registro!$H$8:$H$127)))</f>
        <v/>
      </c>
      <c r="H25" s="37">
        <f>IF(N(D25)&lt;2,"",F25-E25)</f>
        <v/>
      </c>
      <c r="I25" s="18">
        <f>IF(B25="","",SUMIF(Registro!$D$8:$D$127,B25,Registro!$J$8:$J$127))</f>
        <v/>
      </c>
      <c r="J25" s="18">
        <f>IF(B25="","",SUMIF(Registro!$D$8:$D$127,B25,Registro!$K$8:$K$127))</f>
        <v/>
      </c>
      <c r="K25" s="31">
        <f>IF(OR(B25="",N(D25)=0),"",ROUND(SUMPRODUCT(MAX((Registro!$D$8:$D$127=B25)*Registro!$H$8:$H$127*(1+Registro!$G$8:$G$127/30))),1))</f>
        <v/>
      </c>
      <c r="L25" s="19">
        <f>IF(OR(B25="",N(D25)=0),"",INDEX(Registro!$L$8:$L$127,MATCH(B25,Registro!$D$8:$D$127,0)))</f>
        <v/>
      </c>
      <c r="M25" s="19">
        <f>IF(OR(B25="",N(D25)=0),"",INDEX(Registro!$L$1:$L$127,SUMPRODUCT(MAX((Registro!$D$8:$D$127=B25)*ROW(Registro!$D$8:$D$127)))))</f>
        <v/>
      </c>
      <c r="N25" s="33">
        <f>IF(B25="","",IF(D25&lt;2,"Sin datos",IF(M25&gt;L25+0.02,"Mejora",IF(M25&lt;L25-0.02,"Baja","Estable"))))</f>
        <v/>
      </c>
    </row>
    <row r="26">
      <c r="B26" s="36">
        <f>IF(Rutina!C26="","",Rutina!C26)</f>
        <v/>
      </c>
      <c r="C26" s="33">
        <f>IF(B26="","",Rutina!D26)</f>
        <v/>
      </c>
      <c r="D26" s="17">
        <f>IF(B26="","",COUNTIF(Registro!$D$8:$D$127,B26))</f>
        <v/>
      </c>
      <c r="E26" s="31">
        <f>IF(OR(B26="",N(D26)=0),"",INDEX(Registro!$H$8:$H$127,MATCH(B26,Registro!$D$8:$D$127,0)))</f>
        <v/>
      </c>
      <c r="F26" s="31">
        <f>IF(OR(B26="",N(D26)=0),"",INDEX(Registro!$H$1:$H$127,SUMPRODUCT(MAX((Registro!$D$8:$D$127=B26)*ROW(Registro!$D$8:$D$127)))))</f>
        <v/>
      </c>
      <c r="G26" s="31">
        <f>IF(OR(B26="",N(D26)=0),"",SUMPRODUCT(MAX((Registro!$D$8:$D$127=B26)*Registro!$H$8:$H$127)))</f>
        <v/>
      </c>
      <c r="H26" s="37">
        <f>IF(N(D26)&lt;2,"",F26-E26)</f>
        <v/>
      </c>
      <c r="I26" s="18">
        <f>IF(B26="","",SUMIF(Registro!$D$8:$D$127,B26,Registro!$J$8:$J$127))</f>
        <v/>
      </c>
      <c r="J26" s="18">
        <f>IF(B26="","",SUMIF(Registro!$D$8:$D$127,B26,Registro!$K$8:$K$127))</f>
        <v/>
      </c>
      <c r="K26" s="31">
        <f>IF(OR(B26="",N(D26)=0),"",ROUND(SUMPRODUCT(MAX((Registro!$D$8:$D$127=B26)*Registro!$H$8:$H$127*(1+Registro!$G$8:$G$127/30))),1))</f>
        <v/>
      </c>
      <c r="L26" s="19">
        <f>IF(OR(B26="",N(D26)=0),"",INDEX(Registro!$L$8:$L$127,MATCH(B26,Registro!$D$8:$D$127,0)))</f>
        <v/>
      </c>
      <c r="M26" s="19">
        <f>IF(OR(B26="",N(D26)=0),"",INDEX(Registro!$L$1:$L$127,SUMPRODUCT(MAX((Registro!$D$8:$D$127=B26)*ROW(Registro!$D$8:$D$127)))))</f>
        <v/>
      </c>
      <c r="N26" s="33">
        <f>IF(B26="","",IF(D26&lt;2,"Sin datos",IF(M26&gt;L26+0.02,"Mejora",IF(M26&lt;L26-0.02,"Baja","Estable"))))</f>
        <v/>
      </c>
    </row>
    <row r="27">
      <c r="B27" s="36">
        <f>IF(Rutina!C27="","",Rutina!C27)</f>
        <v/>
      </c>
      <c r="C27" s="33">
        <f>IF(B27="","",Rutina!D27)</f>
        <v/>
      </c>
      <c r="D27" s="17">
        <f>IF(B27="","",COUNTIF(Registro!$D$8:$D$127,B27))</f>
        <v/>
      </c>
      <c r="E27" s="31">
        <f>IF(OR(B27="",N(D27)=0),"",INDEX(Registro!$H$8:$H$127,MATCH(B27,Registro!$D$8:$D$127,0)))</f>
        <v/>
      </c>
      <c r="F27" s="31">
        <f>IF(OR(B27="",N(D27)=0),"",INDEX(Registro!$H$1:$H$127,SUMPRODUCT(MAX((Registro!$D$8:$D$127=B27)*ROW(Registro!$D$8:$D$127)))))</f>
        <v/>
      </c>
      <c r="G27" s="31">
        <f>IF(OR(B27="",N(D27)=0),"",SUMPRODUCT(MAX((Registro!$D$8:$D$127=B27)*Registro!$H$8:$H$127)))</f>
        <v/>
      </c>
      <c r="H27" s="37">
        <f>IF(N(D27)&lt;2,"",F27-E27)</f>
        <v/>
      </c>
      <c r="I27" s="18">
        <f>IF(B27="","",SUMIF(Registro!$D$8:$D$127,B27,Registro!$J$8:$J$127))</f>
        <v/>
      </c>
      <c r="J27" s="18">
        <f>IF(B27="","",SUMIF(Registro!$D$8:$D$127,B27,Registro!$K$8:$K$127))</f>
        <v/>
      </c>
      <c r="K27" s="31">
        <f>IF(OR(B27="",N(D27)=0),"",ROUND(SUMPRODUCT(MAX((Registro!$D$8:$D$127=B27)*Registro!$H$8:$H$127*(1+Registro!$G$8:$G$127/30))),1))</f>
        <v/>
      </c>
      <c r="L27" s="19">
        <f>IF(OR(B27="",N(D27)=0),"",INDEX(Registro!$L$8:$L$127,MATCH(B27,Registro!$D$8:$D$127,0)))</f>
        <v/>
      </c>
      <c r="M27" s="19">
        <f>IF(OR(B27="",N(D27)=0),"",INDEX(Registro!$L$1:$L$127,SUMPRODUCT(MAX((Registro!$D$8:$D$127=B27)*ROW(Registro!$D$8:$D$127)))))</f>
        <v/>
      </c>
      <c r="N27" s="33">
        <f>IF(B27="","",IF(D27&lt;2,"Sin datos",IF(M27&gt;L27+0.02,"Mejora",IF(M27&lt;L27-0.02,"Baja","Estable"))))</f>
        <v/>
      </c>
    </row>
    <row r="28">
      <c r="B28" s="36">
        <f>IF(Rutina!C28="","",Rutina!C28)</f>
        <v/>
      </c>
      <c r="C28" s="33">
        <f>IF(B28="","",Rutina!D28)</f>
        <v/>
      </c>
      <c r="D28" s="17">
        <f>IF(B28="","",COUNTIF(Registro!$D$8:$D$127,B28))</f>
        <v/>
      </c>
      <c r="E28" s="31">
        <f>IF(OR(B28="",N(D28)=0),"",INDEX(Registro!$H$8:$H$127,MATCH(B28,Registro!$D$8:$D$127,0)))</f>
        <v/>
      </c>
      <c r="F28" s="31">
        <f>IF(OR(B28="",N(D28)=0),"",INDEX(Registro!$H$1:$H$127,SUMPRODUCT(MAX((Registro!$D$8:$D$127=B28)*ROW(Registro!$D$8:$D$127)))))</f>
        <v/>
      </c>
      <c r="G28" s="31">
        <f>IF(OR(B28="",N(D28)=0),"",SUMPRODUCT(MAX((Registro!$D$8:$D$127=B28)*Registro!$H$8:$H$127)))</f>
        <v/>
      </c>
      <c r="H28" s="37">
        <f>IF(N(D28)&lt;2,"",F28-E28)</f>
        <v/>
      </c>
      <c r="I28" s="18">
        <f>IF(B28="","",SUMIF(Registro!$D$8:$D$127,B28,Registro!$J$8:$J$127))</f>
        <v/>
      </c>
      <c r="J28" s="18">
        <f>IF(B28="","",SUMIF(Registro!$D$8:$D$127,B28,Registro!$K$8:$K$127))</f>
        <v/>
      </c>
      <c r="K28" s="31">
        <f>IF(OR(B28="",N(D28)=0),"",ROUND(SUMPRODUCT(MAX((Registro!$D$8:$D$127=B28)*Registro!$H$8:$H$127*(1+Registro!$G$8:$G$127/30))),1))</f>
        <v/>
      </c>
      <c r="L28" s="19">
        <f>IF(OR(B28="",N(D28)=0),"",INDEX(Registro!$L$8:$L$127,MATCH(B28,Registro!$D$8:$D$127,0)))</f>
        <v/>
      </c>
      <c r="M28" s="19">
        <f>IF(OR(B28="",N(D28)=0),"",INDEX(Registro!$L$1:$L$127,SUMPRODUCT(MAX((Registro!$D$8:$D$127=B28)*ROW(Registro!$D$8:$D$127)))))</f>
        <v/>
      </c>
      <c r="N28" s="33">
        <f>IF(B28="","",IF(D28&lt;2,"Sin datos",IF(M28&gt;L28+0.02,"Mejora",IF(M28&lt;L28-0.02,"Baja","Estable"))))</f>
        <v/>
      </c>
    </row>
    <row r="29">
      <c r="B29" s="36">
        <f>IF(Rutina!C29="","",Rutina!C29)</f>
        <v/>
      </c>
      <c r="C29" s="33">
        <f>IF(B29="","",Rutina!D29)</f>
        <v/>
      </c>
      <c r="D29" s="17">
        <f>IF(B29="","",COUNTIF(Registro!$D$8:$D$127,B29))</f>
        <v/>
      </c>
      <c r="E29" s="31">
        <f>IF(OR(B29="",N(D29)=0),"",INDEX(Registro!$H$8:$H$127,MATCH(B29,Registro!$D$8:$D$127,0)))</f>
        <v/>
      </c>
      <c r="F29" s="31">
        <f>IF(OR(B29="",N(D29)=0),"",INDEX(Registro!$H$1:$H$127,SUMPRODUCT(MAX((Registro!$D$8:$D$127=B29)*ROW(Registro!$D$8:$D$127)))))</f>
        <v/>
      </c>
      <c r="G29" s="31">
        <f>IF(OR(B29="",N(D29)=0),"",SUMPRODUCT(MAX((Registro!$D$8:$D$127=B29)*Registro!$H$8:$H$127)))</f>
        <v/>
      </c>
      <c r="H29" s="37">
        <f>IF(N(D29)&lt;2,"",F29-E29)</f>
        <v/>
      </c>
      <c r="I29" s="18">
        <f>IF(B29="","",SUMIF(Registro!$D$8:$D$127,B29,Registro!$J$8:$J$127))</f>
        <v/>
      </c>
      <c r="J29" s="18">
        <f>IF(B29="","",SUMIF(Registro!$D$8:$D$127,B29,Registro!$K$8:$K$127))</f>
        <v/>
      </c>
      <c r="K29" s="31">
        <f>IF(OR(B29="",N(D29)=0),"",ROUND(SUMPRODUCT(MAX((Registro!$D$8:$D$127=B29)*Registro!$H$8:$H$127*(1+Registro!$G$8:$G$127/30))),1))</f>
        <v/>
      </c>
      <c r="L29" s="19">
        <f>IF(OR(B29="",N(D29)=0),"",INDEX(Registro!$L$8:$L$127,MATCH(B29,Registro!$D$8:$D$127,0)))</f>
        <v/>
      </c>
      <c r="M29" s="19">
        <f>IF(OR(B29="",N(D29)=0),"",INDEX(Registro!$L$1:$L$127,SUMPRODUCT(MAX((Registro!$D$8:$D$127=B29)*ROW(Registro!$D$8:$D$127)))))</f>
        <v/>
      </c>
      <c r="N29" s="33">
        <f>IF(B29="","",IF(D29&lt;2,"Sin datos",IF(M29&gt;L29+0.02,"Mejora",IF(M29&lt;L29-0.02,"Baja","Estable"))))</f>
        <v/>
      </c>
    </row>
    <row r="30">
      <c r="B30" s="36">
        <f>IF(Rutina!C30="","",Rutina!C30)</f>
        <v/>
      </c>
      <c r="C30" s="33">
        <f>IF(B30="","",Rutina!D30)</f>
        <v/>
      </c>
      <c r="D30" s="17">
        <f>IF(B30="","",COUNTIF(Registro!$D$8:$D$127,B30))</f>
        <v/>
      </c>
      <c r="E30" s="31">
        <f>IF(OR(B30="",N(D30)=0),"",INDEX(Registro!$H$8:$H$127,MATCH(B30,Registro!$D$8:$D$127,0)))</f>
        <v/>
      </c>
      <c r="F30" s="31">
        <f>IF(OR(B30="",N(D30)=0),"",INDEX(Registro!$H$1:$H$127,SUMPRODUCT(MAX((Registro!$D$8:$D$127=B30)*ROW(Registro!$D$8:$D$127)))))</f>
        <v/>
      </c>
      <c r="G30" s="31">
        <f>IF(OR(B30="",N(D30)=0),"",SUMPRODUCT(MAX((Registro!$D$8:$D$127=B30)*Registro!$H$8:$H$127)))</f>
        <v/>
      </c>
      <c r="H30" s="37">
        <f>IF(N(D30)&lt;2,"",F30-E30)</f>
        <v/>
      </c>
      <c r="I30" s="18">
        <f>IF(B30="","",SUMIF(Registro!$D$8:$D$127,B30,Registro!$J$8:$J$127))</f>
        <v/>
      </c>
      <c r="J30" s="18">
        <f>IF(B30="","",SUMIF(Registro!$D$8:$D$127,B30,Registro!$K$8:$K$127))</f>
        <v/>
      </c>
      <c r="K30" s="31">
        <f>IF(OR(B30="",N(D30)=0),"",ROUND(SUMPRODUCT(MAX((Registro!$D$8:$D$127=B30)*Registro!$H$8:$H$127*(1+Registro!$G$8:$G$127/30))),1))</f>
        <v/>
      </c>
      <c r="L30" s="19">
        <f>IF(OR(B30="",N(D30)=0),"",INDEX(Registro!$L$8:$L$127,MATCH(B30,Registro!$D$8:$D$127,0)))</f>
        <v/>
      </c>
      <c r="M30" s="19">
        <f>IF(OR(B30="",N(D30)=0),"",INDEX(Registro!$L$1:$L$127,SUMPRODUCT(MAX((Registro!$D$8:$D$127=B30)*ROW(Registro!$D$8:$D$127)))))</f>
        <v/>
      </c>
      <c r="N30" s="33">
        <f>IF(B30="","",IF(D30&lt;2,"Sin datos",IF(M30&gt;L30+0.02,"Mejora",IF(M30&lt;L30-0.02,"Baja","Estable"))))</f>
        <v/>
      </c>
    </row>
    <row r="31">
      <c r="B31" s="36">
        <f>IF(Rutina!C31="","",Rutina!C31)</f>
        <v/>
      </c>
      <c r="C31" s="33">
        <f>IF(B31="","",Rutina!D31)</f>
        <v/>
      </c>
      <c r="D31" s="17">
        <f>IF(B31="","",COUNTIF(Registro!$D$8:$D$127,B31))</f>
        <v/>
      </c>
      <c r="E31" s="31">
        <f>IF(OR(B31="",N(D31)=0),"",INDEX(Registro!$H$8:$H$127,MATCH(B31,Registro!$D$8:$D$127,0)))</f>
        <v/>
      </c>
      <c r="F31" s="31">
        <f>IF(OR(B31="",N(D31)=0),"",INDEX(Registro!$H$1:$H$127,SUMPRODUCT(MAX((Registro!$D$8:$D$127=B31)*ROW(Registro!$D$8:$D$127)))))</f>
        <v/>
      </c>
      <c r="G31" s="31">
        <f>IF(OR(B31="",N(D31)=0),"",SUMPRODUCT(MAX((Registro!$D$8:$D$127=B31)*Registro!$H$8:$H$127)))</f>
        <v/>
      </c>
      <c r="H31" s="37">
        <f>IF(N(D31)&lt;2,"",F31-E31)</f>
        <v/>
      </c>
      <c r="I31" s="18">
        <f>IF(B31="","",SUMIF(Registro!$D$8:$D$127,B31,Registro!$J$8:$J$127))</f>
        <v/>
      </c>
      <c r="J31" s="18">
        <f>IF(B31="","",SUMIF(Registro!$D$8:$D$127,B31,Registro!$K$8:$K$127))</f>
        <v/>
      </c>
      <c r="K31" s="31">
        <f>IF(OR(B31="",N(D31)=0),"",ROUND(SUMPRODUCT(MAX((Registro!$D$8:$D$127=B31)*Registro!$H$8:$H$127*(1+Registro!$G$8:$G$127/30))),1))</f>
        <v/>
      </c>
      <c r="L31" s="19">
        <f>IF(OR(B31="",N(D31)=0),"",INDEX(Registro!$L$8:$L$127,MATCH(B31,Registro!$D$8:$D$127,0)))</f>
        <v/>
      </c>
      <c r="M31" s="19">
        <f>IF(OR(B31="",N(D31)=0),"",INDEX(Registro!$L$1:$L$127,SUMPRODUCT(MAX((Registro!$D$8:$D$127=B31)*ROW(Registro!$D$8:$D$127)))))</f>
        <v/>
      </c>
      <c r="N31" s="33">
        <f>IF(B31="","",IF(D31&lt;2,"Sin datos",IF(M31&gt;L31+0.02,"Mejora",IF(M31&lt;L31-0.02,"Baja","Estable"))))</f>
        <v/>
      </c>
    </row>
    <row r="32">
      <c r="B32" s="36">
        <f>IF(Rutina!C32="","",Rutina!C32)</f>
        <v/>
      </c>
      <c r="C32" s="33">
        <f>IF(B32="","",Rutina!D32)</f>
        <v/>
      </c>
      <c r="D32" s="17">
        <f>IF(B32="","",COUNTIF(Registro!$D$8:$D$127,B32))</f>
        <v/>
      </c>
      <c r="E32" s="31">
        <f>IF(OR(B32="",N(D32)=0),"",INDEX(Registro!$H$8:$H$127,MATCH(B32,Registro!$D$8:$D$127,0)))</f>
        <v/>
      </c>
      <c r="F32" s="31">
        <f>IF(OR(B32="",N(D32)=0),"",INDEX(Registro!$H$1:$H$127,SUMPRODUCT(MAX((Registro!$D$8:$D$127=B32)*ROW(Registro!$D$8:$D$127)))))</f>
        <v/>
      </c>
      <c r="G32" s="31">
        <f>IF(OR(B32="",N(D32)=0),"",SUMPRODUCT(MAX((Registro!$D$8:$D$127=B32)*Registro!$H$8:$H$127)))</f>
        <v/>
      </c>
      <c r="H32" s="37">
        <f>IF(N(D32)&lt;2,"",F32-E32)</f>
        <v/>
      </c>
      <c r="I32" s="18">
        <f>IF(B32="","",SUMIF(Registro!$D$8:$D$127,B32,Registro!$J$8:$J$127))</f>
        <v/>
      </c>
      <c r="J32" s="18">
        <f>IF(B32="","",SUMIF(Registro!$D$8:$D$127,B32,Registro!$K$8:$K$127))</f>
        <v/>
      </c>
      <c r="K32" s="31">
        <f>IF(OR(B32="",N(D32)=0),"",ROUND(SUMPRODUCT(MAX((Registro!$D$8:$D$127=B32)*Registro!$H$8:$H$127*(1+Registro!$G$8:$G$127/30))),1))</f>
        <v/>
      </c>
      <c r="L32" s="19">
        <f>IF(OR(B32="",N(D32)=0),"",INDEX(Registro!$L$8:$L$127,MATCH(B32,Registro!$D$8:$D$127,0)))</f>
        <v/>
      </c>
      <c r="M32" s="19">
        <f>IF(OR(B32="",N(D32)=0),"",INDEX(Registro!$L$1:$L$127,SUMPRODUCT(MAX((Registro!$D$8:$D$127=B32)*ROW(Registro!$D$8:$D$127)))))</f>
        <v/>
      </c>
      <c r="N32" s="33">
        <f>IF(B32="","",IF(D32&lt;2,"Sin datos",IF(M32&gt;L32+0.02,"Mejora",IF(M32&lt;L32-0.02,"Baja","Estable"))))</f>
        <v/>
      </c>
    </row>
    <row r="33">
      <c r="B33" s="36">
        <f>IF(Rutina!C33="","",Rutina!C33)</f>
        <v/>
      </c>
      <c r="C33" s="33">
        <f>IF(B33="","",Rutina!D33)</f>
        <v/>
      </c>
      <c r="D33" s="17">
        <f>IF(B33="","",COUNTIF(Registro!$D$8:$D$127,B33))</f>
        <v/>
      </c>
      <c r="E33" s="31">
        <f>IF(OR(B33="",N(D33)=0),"",INDEX(Registro!$H$8:$H$127,MATCH(B33,Registro!$D$8:$D$127,0)))</f>
        <v/>
      </c>
      <c r="F33" s="31">
        <f>IF(OR(B33="",N(D33)=0),"",INDEX(Registro!$H$1:$H$127,SUMPRODUCT(MAX((Registro!$D$8:$D$127=B33)*ROW(Registro!$D$8:$D$127)))))</f>
        <v/>
      </c>
      <c r="G33" s="31">
        <f>IF(OR(B33="",N(D33)=0),"",SUMPRODUCT(MAX((Registro!$D$8:$D$127=B33)*Registro!$H$8:$H$127)))</f>
        <v/>
      </c>
      <c r="H33" s="37">
        <f>IF(N(D33)&lt;2,"",F33-E33)</f>
        <v/>
      </c>
      <c r="I33" s="18">
        <f>IF(B33="","",SUMIF(Registro!$D$8:$D$127,B33,Registro!$J$8:$J$127))</f>
        <v/>
      </c>
      <c r="J33" s="18">
        <f>IF(B33="","",SUMIF(Registro!$D$8:$D$127,B33,Registro!$K$8:$K$127))</f>
        <v/>
      </c>
      <c r="K33" s="31">
        <f>IF(OR(B33="",N(D33)=0),"",ROUND(SUMPRODUCT(MAX((Registro!$D$8:$D$127=B33)*Registro!$H$8:$H$127*(1+Registro!$G$8:$G$127/30))),1))</f>
        <v/>
      </c>
      <c r="L33" s="19">
        <f>IF(OR(B33="",N(D33)=0),"",INDEX(Registro!$L$8:$L$127,MATCH(B33,Registro!$D$8:$D$127,0)))</f>
        <v/>
      </c>
      <c r="M33" s="19">
        <f>IF(OR(B33="",N(D33)=0),"",INDEX(Registro!$L$1:$L$127,SUMPRODUCT(MAX((Registro!$D$8:$D$127=B33)*ROW(Registro!$D$8:$D$127)))))</f>
        <v/>
      </c>
      <c r="N33" s="33">
        <f>IF(B33="","",IF(D33&lt;2,"Sin datos",IF(M33&gt;L33+0.02,"Mejora",IF(M33&lt;L33-0.02,"Baja","Estable"))))</f>
        <v/>
      </c>
    </row>
    <row r="34">
      <c r="B34" s="36">
        <f>IF(Rutina!C34="","",Rutina!C34)</f>
        <v/>
      </c>
      <c r="C34" s="33">
        <f>IF(B34="","",Rutina!D34)</f>
        <v/>
      </c>
      <c r="D34" s="17">
        <f>IF(B34="","",COUNTIF(Registro!$D$8:$D$127,B34))</f>
        <v/>
      </c>
      <c r="E34" s="31">
        <f>IF(OR(B34="",N(D34)=0),"",INDEX(Registro!$H$8:$H$127,MATCH(B34,Registro!$D$8:$D$127,0)))</f>
        <v/>
      </c>
      <c r="F34" s="31">
        <f>IF(OR(B34="",N(D34)=0),"",INDEX(Registro!$H$1:$H$127,SUMPRODUCT(MAX((Registro!$D$8:$D$127=B34)*ROW(Registro!$D$8:$D$127)))))</f>
        <v/>
      </c>
      <c r="G34" s="31">
        <f>IF(OR(B34="",N(D34)=0),"",SUMPRODUCT(MAX((Registro!$D$8:$D$127=B34)*Registro!$H$8:$H$127)))</f>
        <v/>
      </c>
      <c r="H34" s="37">
        <f>IF(N(D34)&lt;2,"",F34-E34)</f>
        <v/>
      </c>
      <c r="I34" s="18">
        <f>IF(B34="","",SUMIF(Registro!$D$8:$D$127,B34,Registro!$J$8:$J$127))</f>
        <v/>
      </c>
      <c r="J34" s="18">
        <f>IF(B34="","",SUMIF(Registro!$D$8:$D$127,B34,Registro!$K$8:$K$127))</f>
        <v/>
      </c>
      <c r="K34" s="31">
        <f>IF(OR(B34="",N(D34)=0),"",ROUND(SUMPRODUCT(MAX((Registro!$D$8:$D$127=B34)*Registro!$H$8:$H$127*(1+Registro!$G$8:$G$127/30))),1))</f>
        <v/>
      </c>
      <c r="L34" s="19">
        <f>IF(OR(B34="",N(D34)=0),"",INDEX(Registro!$L$8:$L$127,MATCH(B34,Registro!$D$8:$D$127,0)))</f>
        <v/>
      </c>
      <c r="M34" s="19">
        <f>IF(OR(B34="",N(D34)=0),"",INDEX(Registro!$L$1:$L$127,SUMPRODUCT(MAX((Registro!$D$8:$D$127=B34)*ROW(Registro!$D$8:$D$127)))))</f>
        <v/>
      </c>
      <c r="N34" s="33">
        <f>IF(B34="","",IF(D34&lt;2,"Sin datos",IF(M34&gt;L34+0.02,"Mejora",IF(M34&lt;L34-0.02,"Baja","Estable"))))</f>
        <v/>
      </c>
    </row>
    <row r="35">
      <c r="B35" s="36">
        <f>IF(Rutina!C35="","",Rutina!C35)</f>
        <v/>
      </c>
      <c r="C35" s="33">
        <f>IF(B35="","",Rutina!D35)</f>
        <v/>
      </c>
      <c r="D35" s="17">
        <f>IF(B35="","",COUNTIF(Registro!$D$8:$D$127,B35))</f>
        <v/>
      </c>
      <c r="E35" s="31">
        <f>IF(OR(B35="",N(D35)=0),"",INDEX(Registro!$H$8:$H$127,MATCH(B35,Registro!$D$8:$D$127,0)))</f>
        <v/>
      </c>
      <c r="F35" s="31">
        <f>IF(OR(B35="",N(D35)=0),"",INDEX(Registro!$H$1:$H$127,SUMPRODUCT(MAX((Registro!$D$8:$D$127=B35)*ROW(Registro!$D$8:$D$127)))))</f>
        <v/>
      </c>
      <c r="G35" s="31">
        <f>IF(OR(B35="",N(D35)=0),"",SUMPRODUCT(MAX((Registro!$D$8:$D$127=B35)*Registro!$H$8:$H$127)))</f>
        <v/>
      </c>
      <c r="H35" s="37">
        <f>IF(N(D35)&lt;2,"",F35-E35)</f>
        <v/>
      </c>
      <c r="I35" s="18">
        <f>IF(B35="","",SUMIF(Registro!$D$8:$D$127,B35,Registro!$J$8:$J$127))</f>
        <v/>
      </c>
      <c r="J35" s="18">
        <f>IF(B35="","",SUMIF(Registro!$D$8:$D$127,B35,Registro!$K$8:$K$127))</f>
        <v/>
      </c>
      <c r="K35" s="31">
        <f>IF(OR(B35="",N(D35)=0),"",ROUND(SUMPRODUCT(MAX((Registro!$D$8:$D$127=B35)*Registro!$H$8:$H$127*(1+Registro!$G$8:$G$127/30))),1))</f>
        <v/>
      </c>
      <c r="L35" s="19">
        <f>IF(OR(B35="",N(D35)=0),"",INDEX(Registro!$L$8:$L$127,MATCH(B35,Registro!$D$8:$D$127,0)))</f>
        <v/>
      </c>
      <c r="M35" s="19">
        <f>IF(OR(B35="",N(D35)=0),"",INDEX(Registro!$L$1:$L$127,SUMPRODUCT(MAX((Registro!$D$8:$D$127=B35)*ROW(Registro!$D$8:$D$127)))))</f>
        <v/>
      </c>
      <c r="N35" s="33">
        <f>IF(B35="","",IF(D35&lt;2,"Sin datos",IF(M35&gt;L35+0.02,"Mejora",IF(M35&lt;L35-0.02,"Baja","Estable"))))</f>
        <v/>
      </c>
    </row>
    <row r="36">
      <c r="B36" s="36">
        <f>IF(Rutina!C36="","",Rutina!C36)</f>
        <v/>
      </c>
      <c r="C36" s="33">
        <f>IF(B36="","",Rutina!D36)</f>
        <v/>
      </c>
      <c r="D36" s="17">
        <f>IF(B36="","",COUNTIF(Registro!$D$8:$D$127,B36))</f>
        <v/>
      </c>
      <c r="E36" s="31">
        <f>IF(OR(B36="",N(D36)=0),"",INDEX(Registro!$H$8:$H$127,MATCH(B36,Registro!$D$8:$D$127,0)))</f>
        <v/>
      </c>
      <c r="F36" s="31">
        <f>IF(OR(B36="",N(D36)=0),"",INDEX(Registro!$H$1:$H$127,SUMPRODUCT(MAX((Registro!$D$8:$D$127=B36)*ROW(Registro!$D$8:$D$127)))))</f>
        <v/>
      </c>
      <c r="G36" s="31">
        <f>IF(OR(B36="",N(D36)=0),"",SUMPRODUCT(MAX((Registro!$D$8:$D$127=B36)*Registro!$H$8:$H$127)))</f>
        <v/>
      </c>
      <c r="H36" s="37">
        <f>IF(N(D36)&lt;2,"",F36-E36)</f>
        <v/>
      </c>
      <c r="I36" s="18">
        <f>IF(B36="","",SUMIF(Registro!$D$8:$D$127,B36,Registro!$J$8:$J$127))</f>
        <v/>
      </c>
      <c r="J36" s="18">
        <f>IF(B36="","",SUMIF(Registro!$D$8:$D$127,B36,Registro!$K$8:$K$127))</f>
        <v/>
      </c>
      <c r="K36" s="31">
        <f>IF(OR(B36="",N(D36)=0),"",ROUND(SUMPRODUCT(MAX((Registro!$D$8:$D$127=B36)*Registro!$H$8:$H$127*(1+Registro!$G$8:$G$127/30))),1))</f>
        <v/>
      </c>
      <c r="L36" s="19">
        <f>IF(OR(B36="",N(D36)=0),"",INDEX(Registro!$L$8:$L$127,MATCH(B36,Registro!$D$8:$D$127,0)))</f>
        <v/>
      </c>
      <c r="M36" s="19">
        <f>IF(OR(B36="",N(D36)=0),"",INDEX(Registro!$L$1:$L$127,SUMPRODUCT(MAX((Registro!$D$8:$D$127=B36)*ROW(Registro!$D$8:$D$127)))))</f>
        <v/>
      </c>
      <c r="N36" s="33">
        <f>IF(B36="","",IF(D36&lt;2,"Sin datos",IF(M36&gt;L36+0.02,"Mejora",IF(M36&lt;L36-0.02,"Baja","Estable"))))</f>
        <v/>
      </c>
    </row>
    <row r="37">
      <c r="B37" s="36">
        <f>IF(Rutina!C37="","",Rutina!C37)</f>
        <v/>
      </c>
      <c r="C37" s="33">
        <f>IF(B37="","",Rutina!D37)</f>
        <v/>
      </c>
      <c r="D37" s="17">
        <f>IF(B37="","",COUNTIF(Registro!$D$8:$D$127,B37))</f>
        <v/>
      </c>
      <c r="E37" s="31">
        <f>IF(OR(B37="",N(D37)=0),"",INDEX(Registro!$H$8:$H$127,MATCH(B37,Registro!$D$8:$D$127,0)))</f>
        <v/>
      </c>
      <c r="F37" s="31">
        <f>IF(OR(B37="",N(D37)=0),"",INDEX(Registro!$H$1:$H$127,SUMPRODUCT(MAX((Registro!$D$8:$D$127=B37)*ROW(Registro!$D$8:$D$127)))))</f>
        <v/>
      </c>
      <c r="G37" s="31">
        <f>IF(OR(B37="",N(D37)=0),"",SUMPRODUCT(MAX((Registro!$D$8:$D$127=B37)*Registro!$H$8:$H$127)))</f>
        <v/>
      </c>
      <c r="H37" s="37">
        <f>IF(N(D37)&lt;2,"",F37-E37)</f>
        <v/>
      </c>
      <c r="I37" s="18">
        <f>IF(B37="","",SUMIF(Registro!$D$8:$D$127,B37,Registro!$J$8:$J$127))</f>
        <v/>
      </c>
      <c r="J37" s="18">
        <f>IF(B37="","",SUMIF(Registro!$D$8:$D$127,B37,Registro!$K$8:$K$127))</f>
        <v/>
      </c>
      <c r="K37" s="31">
        <f>IF(OR(B37="",N(D37)=0),"",ROUND(SUMPRODUCT(MAX((Registro!$D$8:$D$127=B37)*Registro!$H$8:$H$127*(1+Registro!$G$8:$G$127/30))),1))</f>
        <v/>
      </c>
      <c r="L37" s="19">
        <f>IF(OR(B37="",N(D37)=0),"",INDEX(Registro!$L$8:$L$127,MATCH(B37,Registro!$D$8:$D$127,0)))</f>
        <v/>
      </c>
      <c r="M37" s="19">
        <f>IF(OR(B37="",N(D37)=0),"",INDEX(Registro!$L$1:$L$127,SUMPRODUCT(MAX((Registro!$D$8:$D$127=B37)*ROW(Registro!$D$8:$D$127)))))</f>
        <v/>
      </c>
      <c r="N37" s="33">
        <f>IF(B37="","",IF(D37&lt;2,"Sin datos",IF(M37&gt;L37+0.02,"Mejora",IF(M37&lt;L37-0.02,"Baja","Estable"))))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C8:C37">
    <cfRule type="expression" priority="1" dxfId="2">
      <formula>MOD(ROW(),2)=0</formula>
    </cfRule>
  </conditionalFormatting>
  <conditionalFormatting sqref="E8:N37">
    <cfRule type="expression" priority="2" dxfId="2">
      <formula>MOD(ROW(),2)=0</formula>
    </cfRule>
  </conditionalFormatting>
  <conditionalFormatting sqref="N8:N37">
    <cfRule type="cellIs" priority="3" operator="equal" dxfId="0">
      <formula>"Mejora"</formula>
    </cfRule>
    <cfRule type="cellIs" priority="4" operator="equal" dxfId="4">
      <formula>"Baja"</formula>
    </cfRule>
    <cfRule type="cellIs" priority="5" operator="equal" dxfId="1">
      <formula>"Estable"</formula>
    </cfRule>
  </conditionalFormatting>
  <conditionalFormatting sqref="J8:J37">
    <cfRule type="dataBar" priority="6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Día</t>
        </is>
      </c>
      <c r="B1" t="inlineStr">
        <is>
          <t>Grupo</t>
        </is>
      </c>
      <c r="C1" t="inlineStr">
        <is>
          <t>Material</t>
        </is>
      </c>
    </row>
    <row r="2">
      <c r="A2" t="inlineStr">
        <is>
          <t>Lunes</t>
        </is>
      </c>
      <c r="B2" t="inlineStr">
        <is>
          <t>Pecho</t>
        </is>
      </c>
      <c r="C2" t="inlineStr">
        <is>
          <t>Peso corporal</t>
        </is>
      </c>
    </row>
    <row r="3">
      <c r="A3" t="inlineStr">
        <is>
          <t>Martes</t>
        </is>
      </c>
      <c r="B3" t="inlineStr">
        <is>
          <t>Espalda</t>
        </is>
      </c>
      <c r="C3" t="inlineStr">
        <is>
          <t>Mancuernas</t>
        </is>
      </c>
    </row>
    <row r="4">
      <c r="A4" t="inlineStr">
        <is>
          <t>Miércoles</t>
        </is>
      </c>
      <c r="B4" t="inlineStr">
        <is>
          <t>Hombros</t>
        </is>
      </c>
      <c r="C4" t="inlineStr">
        <is>
          <t>Banda elástica</t>
        </is>
      </c>
    </row>
    <row r="5">
      <c r="A5" t="inlineStr">
        <is>
          <t>Jueves</t>
        </is>
      </c>
      <c r="B5" t="inlineStr">
        <is>
          <t>Brazos</t>
        </is>
      </c>
      <c r="C5" t="inlineStr">
        <is>
          <t>Mochila con peso</t>
        </is>
      </c>
    </row>
    <row r="6">
      <c r="A6" t="inlineStr">
        <is>
          <t>Viernes</t>
        </is>
      </c>
      <c r="B6" t="inlineStr">
        <is>
          <t>Piernas</t>
        </is>
      </c>
      <c r="C6" t="inlineStr">
        <is>
          <t>Silla</t>
        </is>
      </c>
    </row>
    <row r="7">
      <c r="A7" t="inlineStr">
        <is>
          <t>Sábado</t>
        </is>
      </c>
      <c r="B7" t="inlineStr">
        <is>
          <t>Glúteos</t>
        </is>
      </c>
      <c r="C7" t="inlineStr">
        <is>
          <t>Esterilla</t>
        </is>
      </c>
    </row>
    <row r="8">
      <c r="A8" t="inlineStr">
        <is>
          <t>Domingo</t>
        </is>
      </c>
      <c r="B8" t="inlineStr">
        <is>
          <t>Core</t>
        </is>
      </c>
    </row>
    <row r="9">
      <c r="B9" t="inlineStr">
        <is>
          <t>Cuerpo completo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2026-10-02T13:11:48Z</dcterms:created>
  <dcterms:modified xmlns:dcterms="http://purl.org/dc/terms/" xmlns:xsi="http://www.w3.org/2001/XMLSchema-instance" xsi:type="dcterms:W3CDTF">2026-10-02T13:11:49Z</dcterms:modified>
</cp:coreProperties>
</file>