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ursos" sheetId="2" state="visible" r:id="rId2"/>
    <sheet xmlns:r="http://schemas.openxmlformats.org/officeDocument/2006/relationships" name="Sesiones" sheetId="3" state="visible" r:id="rId3"/>
    <sheet xmlns:r="http://schemas.openxmlformats.org/officeDocument/2006/relationships" name="Análisi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dd/mm/yyyy"/>
    <numFmt numFmtId="165" formatCode="0.0"/>
    <numFmt numFmtId="166" formatCode="yyyy-mm-dd"/>
    <numFmt numFmtId="167" formatCode="#,##0.00 &quot;€&quot;"/>
    <numFmt numFmtId="168" formatCode="0.00000"/>
    <numFmt numFmtId="169" formatCode="mmm yyyy"/>
    <numFmt numFmtId="170" formatCode="+0.0;-0.0;0.0"/>
    <numFmt numFmtId="171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165" fontId="13" fillId="6" borderId="0" applyAlignment="1" pivotButton="0" quotePrefix="0" xfId="0">
      <alignment horizontal="center" vertical="center"/>
    </xf>
    <xf numFmtId="167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5" fontId="7" fillId="4" borderId="1" applyAlignment="1" applyProtection="1" pivotButton="0" quotePrefix="0" xfId="0">
      <alignment horizontal="center" vertical="center"/>
      <protection locked="0" hidden="0"/>
    </xf>
    <xf numFmtId="9" fontId="7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165" fontId="8" fillId="0" borderId="1" applyAlignment="1" pivotButton="0" quotePrefix="0" xfId="0">
      <alignment horizontal="center" vertical="center"/>
    </xf>
    <xf numFmtId="168" fontId="8" fillId="0" borderId="1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  <xf numFmtId="0" fontId="7" fillId="4" borderId="1" applyAlignment="1" applyProtection="1" pivotButton="0" quotePrefix="0" xfId="0">
      <alignment vertical="center"/>
      <protection locked="0" hidden="0"/>
    </xf>
    <xf numFmtId="0" fontId="7" fillId="4" borderId="1" applyAlignment="1" applyProtection="1" pivotButton="0" quotePrefix="0" xfId="0">
      <alignment horizontal="center" vertical="center"/>
      <protection locked="0" hidden="0"/>
    </xf>
    <xf numFmtId="1" fontId="7" fillId="4" borderId="1" applyAlignment="1" applyProtection="1" pivotButton="0" quotePrefix="0" xfId="0">
      <alignment horizontal="center" vertical="center"/>
      <protection locked="0" hidden="0"/>
    </xf>
    <xf numFmtId="164" fontId="7" fillId="4" borderId="1" applyAlignment="1" applyProtection="1" pivotButton="0" quotePrefix="0" xfId="0">
      <alignment horizontal="center" vertical="center"/>
      <protection locked="0" hidden="0"/>
    </xf>
    <xf numFmtId="167" fontId="7" fillId="4" borderId="1" applyAlignment="1" applyProtection="1" pivotButton="0" quotePrefix="0" xfId="0">
      <alignment vertical="center"/>
      <protection locked="0" hidden="0"/>
    </xf>
    <xf numFmtId="9" fontId="4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horizontal="center" vertical="center"/>
    </xf>
    <xf numFmtId="168" fontId="9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165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167" fontId="10" fillId="5" borderId="1" applyAlignment="1" pivotButton="0" quotePrefix="0" xfId="0">
      <alignment vertical="center"/>
    </xf>
    <xf numFmtId="9" fontId="10" fillId="5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5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169" fontId="8" fillId="0" borderId="1" applyAlignment="1" pivotButton="0" quotePrefix="0" xfId="0">
      <alignment horizontal="center" vertical="center"/>
    </xf>
    <xf numFmtId="170" fontId="8" fillId="0" borderId="1" applyAlignment="1" pivotButton="0" quotePrefix="0" xfId="0">
      <alignment horizontal="center" vertical="center"/>
    </xf>
    <xf numFmtId="170" fontId="10" fillId="5" borderId="1" applyAlignment="1" pivotButton="0" quotePrefix="0" xfId="0">
      <alignment vertical="center"/>
    </xf>
    <xf numFmtId="167" fontId="8" fillId="0" borderId="1" applyAlignment="1" pivotButton="0" quotePrefix="0" xfId="0">
      <alignment vertical="center"/>
    </xf>
    <xf numFmtId="171" fontId="8" fillId="0" borderId="1" applyAlignment="1" pivotButton="0" quotePrefix="0" xfId="0">
      <alignment horizontal="center" vertical="center"/>
    </xf>
    <xf numFmtId="171" fontId="10" fillId="5" borderId="1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 estudio por semana (últimas 12)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'Análisis'!D7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'Análisis'!$C$8:$C$19</f>
            </numRef>
          </cat>
          <val>
            <numRef>
              <f>'Análisis'!$D$8:$D$19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dedicadas por plataforma</a:t>
            </a:r>
          </a:p>
        </rich>
      </tx>
    </title>
    <plotArea>
      <pieChart>
        <varyColors val="1"/>
        <ser>
          <idx val="0"/>
          <order val="0"/>
          <tx>
            <strRef>
              <f>'Análisis'!E24</f>
            </strRef>
          </tx>
          <spPr>
            <a:ln xmlns:a="http://schemas.openxmlformats.org/drawingml/2006/main">
              <a:prstDash val="solid"/>
            </a:ln>
          </spPr>
          <cat>
            <numRef>
              <f>'Análisis'!$B$25:$B$32</f>
            </numRef>
          </cat>
          <val>
            <numRef>
              <f>'Análisis'!$E$25:$E$32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36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5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  <col hidden="1" width="10" customWidth="1" min="10" max="10"/>
  </cols>
  <sheetData>
    <row r="2" ht="34" customHeight="1">
      <c r="B2" s="1" t="inlineStr">
        <is>
          <t>Panel de formación online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 tus cursos: avance, horas, constancia semanal y dinero invertido.</t>
        </is>
      </c>
    </row>
    <row r="5" ht="24" customHeight="1">
      <c r="B5" s="4" t="inlineStr">
        <is>
          <t>CURSOS ACTIVOS</t>
        </is>
      </c>
      <c r="C5" s="4" t="inlineStr">
        <is>
          <t>CURSOS COMPLETADOS</t>
        </is>
      </c>
      <c r="E5" s="4" t="inlineStr">
        <is>
          <t>HORAS DEDICADAS</t>
        </is>
      </c>
      <c r="G5" s="4" t="inlineStr">
        <is>
          <t>INVERSIÓN TOTAL</t>
        </is>
      </c>
    </row>
    <row r="6" ht="36" customHeight="1">
      <c r="B6" s="5">
        <f>COUNTIF(Cursos!Q8:Q47,"En curso")+COUNTIF(Cursos!Q8:Q47,"Atrasado")</f>
        <v/>
      </c>
      <c r="C6" s="5">
        <f>COUNTIF(Cursos!Q8:Q47,"Completado")</f>
        <v/>
      </c>
      <c r="E6" s="6">
        <f>SUM(Cursos!M8:M47)</f>
        <v/>
      </c>
      <c r="G6" s="7">
        <f>SUM(Cursos!I8:I47)</f>
        <v/>
      </c>
    </row>
    <row r="8" ht="24" customHeight="1">
      <c r="B8" s="4" t="inlineStr">
        <is>
          <t>AVANCE GLOBAL</t>
        </is>
      </c>
      <c r="C8" s="4" t="inlineStr">
        <is>
          <t>HORAS ESTA SEMANA</t>
        </is>
      </c>
      <c r="E8" s="4" t="inlineStr">
        <is>
          <t>MEDIA SEMANAL (12 SEM.)</t>
        </is>
      </c>
      <c r="G8" s="4" t="inlineStr">
        <is>
          <t>COSTE POR HORA DEDICADA</t>
        </is>
      </c>
    </row>
    <row r="9" ht="36" customHeight="1">
      <c r="B9" s="8">
        <f>IFERROR(1-SUM(Cursos!N8:N47)/SUM(Cursos!D8:D47),0)</f>
        <v/>
      </c>
      <c r="C9" s="6">
        <f>SUMIFS(Sesiones!D8:D67,Sesiones!F8:F67,Cursos!C5-WEEKDAY(Cursos!C5,2)+1)</f>
        <v/>
      </c>
      <c r="E9" s="6">
        <f>ROUND(AVERAGE(Análisis!D8:D19),1)</f>
        <v/>
      </c>
      <c r="G9" s="7">
        <f>IFERROR(SUM(Cursos!I8:I47)/SUM(Cursos!M8:M47),0)</f>
        <v/>
      </c>
    </row>
    <row r="11">
      <c r="B11" s="9" t="inlineStr">
        <is>
          <t>Objetivo de horas por semana:</t>
        </is>
      </c>
      <c r="C11" s="10" t="n">
        <v>5</v>
      </c>
      <c r="E11" s="9" t="inlineStr">
        <is>
          <t>Margen de retraso:</t>
        </is>
      </c>
      <c r="F11" s="11" t="n">
        <v>0.1</v>
      </c>
      <c r="G11" s="12" t="inlineStr">
        <is>
          <t>sobre el ritmo previsto</t>
        </is>
      </c>
    </row>
    <row r="13">
      <c r="B13" s="13" t="inlineStr">
        <is>
          <t>PRÓXIMOS 8 CURSOS POR FECHA LÍMITE</t>
        </is>
      </c>
    </row>
    <row r="14" ht="30" customHeight="1">
      <c r="B14" s="14" t="inlineStr">
        <is>
          <t>Curso</t>
        </is>
      </c>
      <c r="C14" s="14" t="inlineStr">
        <is>
          <t>Plataforma</t>
        </is>
      </c>
      <c r="D14" s="14" t="inlineStr">
        <is>
          <t>Fin objetivo</t>
        </is>
      </c>
      <c r="E14" s="14" t="inlineStr">
        <is>
          <t>% completado</t>
        </is>
      </c>
      <c r="F14" s="14" t="inlineStr">
        <is>
          <t>Horas que faltan</t>
        </is>
      </c>
      <c r="G14" s="14" t="inlineStr">
        <is>
          <t>Ritmo (h/sem)</t>
        </is>
      </c>
      <c r="H14" s="14" t="inlineStr">
        <is>
          <t>Estado</t>
        </is>
      </c>
    </row>
    <row r="15">
      <c r="B15" s="15">
        <f>IF($J15="","",INDEX(Cursos!$B$8:$B$47,MATCH($J15,Cursos!$S$8:$S$47,0)))</f>
        <v/>
      </c>
      <c r="C15" s="16">
        <f>IF($J15="","",INDEX(Cursos!$C$8:$C$47,MATCH($J15,Cursos!$S$8:$S$47,0)))</f>
        <v/>
      </c>
      <c r="D15" s="17">
        <f>IF($J15="","",INDEX(Cursos!$H$8:$H$47,MATCH($J15,Cursos!$S$8:$S$47,0)))</f>
        <v/>
      </c>
      <c r="E15" s="18">
        <f>IF($J15="","",INDEX(Cursos!$L$8:$L$47,MATCH($J15,Cursos!$S$8:$S$47,0)))</f>
        <v/>
      </c>
      <c r="F15" s="19">
        <f>IF($J15="","",INDEX(Cursos!$N$8:$N$47,MATCH($J15,Cursos!$S$8:$S$47,0)))</f>
        <v/>
      </c>
      <c r="G15" s="19">
        <f>IF($J15="","",INDEX(Cursos!$P$8:$P$47,MATCH($J15,Cursos!$S$8:$S$47,0)))</f>
        <v/>
      </c>
      <c r="H15" s="16">
        <f>IF($J15="","",INDEX(Cursos!$Q$8:$Q$47,MATCH($J15,Cursos!$S$8:$S$47,0)))</f>
        <v/>
      </c>
      <c r="J15" s="20">
        <f>IFERROR(SMALL(Cursos!$S$8:$S$47,1),"")</f>
        <v/>
      </c>
    </row>
    <row r="16">
      <c r="B16" s="15">
        <f>IF($J16="","",INDEX(Cursos!$B$8:$B$47,MATCH($J16,Cursos!$S$8:$S$47,0)))</f>
        <v/>
      </c>
      <c r="C16" s="16">
        <f>IF($J16="","",INDEX(Cursos!$C$8:$C$47,MATCH($J16,Cursos!$S$8:$S$47,0)))</f>
        <v/>
      </c>
      <c r="D16" s="17">
        <f>IF($J16="","",INDEX(Cursos!$H$8:$H$47,MATCH($J16,Cursos!$S$8:$S$47,0)))</f>
        <v/>
      </c>
      <c r="E16" s="18">
        <f>IF($J16="","",INDEX(Cursos!$L$8:$L$47,MATCH($J16,Cursos!$S$8:$S$47,0)))</f>
        <v/>
      </c>
      <c r="F16" s="19">
        <f>IF($J16="","",INDEX(Cursos!$N$8:$N$47,MATCH($J16,Cursos!$S$8:$S$47,0)))</f>
        <v/>
      </c>
      <c r="G16" s="19">
        <f>IF($J16="","",INDEX(Cursos!$P$8:$P$47,MATCH($J16,Cursos!$S$8:$S$47,0)))</f>
        <v/>
      </c>
      <c r="H16" s="16">
        <f>IF($J16="","",INDEX(Cursos!$Q$8:$Q$47,MATCH($J16,Cursos!$S$8:$S$47,0)))</f>
        <v/>
      </c>
      <c r="J16" s="20">
        <f>IFERROR(SMALL(Cursos!$S$8:$S$47,2),"")</f>
        <v/>
      </c>
    </row>
    <row r="17">
      <c r="B17" s="15">
        <f>IF($J17="","",INDEX(Cursos!$B$8:$B$47,MATCH($J17,Cursos!$S$8:$S$47,0)))</f>
        <v/>
      </c>
      <c r="C17" s="16">
        <f>IF($J17="","",INDEX(Cursos!$C$8:$C$47,MATCH($J17,Cursos!$S$8:$S$47,0)))</f>
        <v/>
      </c>
      <c r="D17" s="17">
        <f>IF($J17="","",INDEX(Cursos!$H$8:$H$47,MATCH($J17,Cursos!$S$8:$S$47,0)))</f>
        <v/>
      </c>
      <c r="E17" s="18">
        <f>IF($J17="","",INDEX(Cursos!$L$8:$L$47,MATCH($J17,Cursos!$S$8:$S$47,0)))</f>
        <v/>
      </c>
      <c r="F17" s="19">
        <f>IF($J17="","",INDEX(Cursos!$N$8:$N$47,MATCH($J17,Cursos!$S$8:$S$47,0)))</f>
        <v/>
      </c>
      <c r="G17" s="19">
        <f>IF($J17="","",INDEX(Cursos!$P$8:$P$47,MATCH($J17,Cursos!$S$8:$S$47,0)))</f>
        <v/>
      </c>
      <c r="H17" s="16">
        <f>IF($J17="","",INDEX(Cursos!$Q$8:$Q$47,MATCH($J17,Cursos!$S$8:$S$47,0)))</f>
        <v/>
      </c>
      <c r="J17" s="20">
        <f>IFERROR(SMALL(Cursos!$S$8:$S$47,3),"")</f>
        <v/>
      </c>
    </row>
    <row r="18">
      <c r="B18" s="15">
        <f>IF($J18="","",INDEX(Cursos!$B$8:$B$47,MATCH($J18,Cursos!$S$8:$S$47,0)))</f>
        <v/>
      </c>
      <c r="C18" s="16">
        <f>IF($J18="","",INDEX(Cursos!$C$8:$C$47,MATCH($J18,Cursos!$S$8:$S$47,0)))</f>
        <v/>
      </c>
      <c r="D18" s="17">
        <f>IF($J18="","",INDEX(Cursos!$H$8:$H$47,MATCH($J18,Cursos!$S$8:$S$47,0)))</f>
        <v/>
      </c>
      <c r="E18" s="18">
        <f>IF($J18="","",INDEX(Cursos!$L$8:$L$47,MATCH($J18,Cursos!$S$8:$S$47,0)))</f>
        <v/>
      </c>
      <c r="F18" s="19">
        <f>IF($J18="","",INDEX(Cursos!$N$8:$N$47,MATCH($J18,Cursos!$S$8:$S$47,0)))</f>
        <v/>
      </c>
      <c r="G18" s="19">
        <f>IF($J18="","",INDEX(Cursos!$P$8:$P$47,MATCH($J18,Cursos!$S$8:$S$47,0)))</f>
        <v/>
      </c>
      <c r="H18" s="16">
        <f>IF($J18="","",INDEX(Cursos!$Q$8:$Q$47,MATCH($J18,Cursos!$S$8:$S$47,0)))</f>
        <v/>
      </c>
      <c r="J18" s="20">
        <f>IFERROR(SMALL(Cursos!$S$8:$S$47,4),"")</f>
        <v/>
      </c>
    </row>
    <row r="19">
      <c r="B19" s="15">
        <f>IF($J19="","",INDEX(Cursos!$B$8:$B$47,MATCH($J19,Cursos!$S$8:$S$47,0)))</f>
        <v/>
      </c>
      <c r="C19" s="16">
        <f>IF($J19="","",INDEX(Cursos!$C$8:$C$47,MATCH($J19,Cursos!$S$8:$S$47,0)))</f>
        <v/>
      </c>
      <c r="D19" s="17">
        <f>IF($J19="","",INDEX(Cursos!$H$8:$H$47,MATCH($J19,Cursos!$S$8:$S$47,0)))</f>
        <v/>
      </c>
      <c r="E19" s="18">
        <f>IF($J19="","",INDEX(Cursos!$L$8:$L$47,MATCH($J19,Cursos!$S$8:$S$47,0)))</f>
        <v/>
      </c>
      <c r="F19" s="19">
        <f>IF($J19="","",INDEX(Cursos!$N$8:$N$47,MATCH($J19,Cursos!$S$8:$S$47,0)))</f>
        <v/>
      </c>
      <c r="G19" s="19">
        <f>IF($J19="","",INDEX(Cursos!$P$8:$P$47,MATCH($J19,Cursos!$S$8:$S$47,0)))</f>
        <v/>
      </c>
      <c r="H19" s="16">
        <f>IF($J19="","",INDEX(Cursos!$Q$8:$Q$47,MATCH($J19,Cursos!$S$8:$S$47,0)))</f>
        <v/>
      </c>
      <c r="J19" s="20">
        <f>IFERROR(SMALL(Cursos!$S$8:$S$47,5),"")</f>
        <v/>
      </c>
    </row>
    <row r="20">
      <c r="B20" s="15">
        <f>IF($J20="","",INDEX(Cursos!$B$8:$B$47,MATCH($J20,Cursos!$S$8:$S$47,0)))</f>
        <v/>
      </c>
      <c r="C20" s="16">
        <f>IF($J20="","",INDEX(Cursos!$C$8:$C$47,MATCH($J20,Cursos!$S$8:$S$47,0)))</f>
        <v/>
      </c>
      <c r="D20" s="17">
        <f>IF($J20="","",INDEX(Cursos!$H$8:$H$47,MATCH($J20,Cursos!$S$8:$S$47,0)))</f>
        <v/>
      </c>
      <c r="E20" s="18">
        <f>IF($J20="","",INDEX(Cursos!$L$8:$L$47,MATCH($J20,Cursos!$S$8:$S$47,0)))</f>
        <v/>
      </c>
      <c r="F20" s="19">
        <f>IF($J20="","",INDEX(Cursos!$N$8:$N$47,MATCH($J20,Cursos!$S$8:$S$47,0)))</f>
        <v/>
      </c>
      <c r="G20" s="19">
        <f>IF($J20="","",INDEX(Cursos!$P$8:$P$47,MATCH($J20,Cursos!$S$8:$S$47,0)))</f>
        <v/>
      </c>
      <c r="H20" s="16">
        <f>IF($J20="","",INDEX(Cursos!$Q$8:$Q$47,MATCH($J20,Cursos!$S$8:$S$47,0)))</f>
        <v/>
      </c>
      <c r="J20" s="20">
        <f>IFERROR(SMALL(Cursos!$S$8:$S$47,6),"")</f>
        <v/>
      </c>
    </row>
    <row r="21">
      <c r="B21" s="15">
        <f>IF($J21="","",INDEX(Cursos!$B$8:$B$47,MATCH($J21,Cursos!$S$8:$S$47,0)))</f>
        <v/>
      </c>
      <c r="C21" s="16">
        <f>IF($J21="","",INDEX(Cursos!$C$8:$C$47,MATCH($J21,Cursos!$S$8:$S$47,0)))</f>
        <v/>
      </c>
      <c r="D21" s="17">
        <f>IF($J21="","",INDEX(Cursos!$H$8:$H$47,MATCH($J21,Cursos!$S$8:$S$47,0)))</f>
        <v/>
      </c>
      <c r="E21" s="18">
        <f>IF($J21="","",INDEX(Cursos!$L$8:$L$47,MATCH($J21,Cursos!$S$8:$S$47,0)))</f>
        <v/>
      </c>
      <c r="F21" s="19">
        <f>IF($J21="","",INDEX(Cursos!$N$8:$N$47,MATCH($J21,Cursos!$S$8:$S$47,0)))</f>
        <v/>
      </c>
      <c r="G21" s="19">
        <f>IF($J21="","",INDEX(Cursos!$P$8:$P$47,MATCH($J21,Cursos!$S$8:$S$47,0)))</f>
        <v/>
      </c>
      <c r="H21" s="16">
        <f>IF($J21="","",INDEX(Cursos!$Q$8:$Q$47,MATCH($J21,Cursos!$S$8:$S$47,0)))</f>
        <v/>
      </c>
      <c r="J21" s="20">
        <f>IFERROR(SMALL(Cursos!$S$8:$S$47,7),"")</f>
        <v/>
      </c>
    </row>
    <row r="22">
      <c r="B22" s="15">
        <f>IF($J22="","",INDEX(Cursos!$B$8:$B$47,MATCH($J22,Cursos!$S$8:$S$47,0)))</f>
        <v/>
      </c>
      <c r="C22" s="16">
        <f>IF($J22="","",INDEX(Cursos!$C$8:$C$47,MATCH($J22,Cursos!$S$8:$S$47,0)))</f>
        <v/>
      </c>
      <c r="D22" s="17">
        <f>IF($J22="","",INDEX(Cursos!$H$8:$H$47,MATCH($J22,Cursos!$S$8:$S$47,0)))</f>
        <v/>
      </c>
      <c r="E22" s="18">
        <f>IF($J22="","",INDEX(Cursos!$L$8:$L$47,MATCH($J22,Cursos!$S$8:$S$47,0)))</f>
        <v/>
      </c>
      <c r="F22" s="19">
        <f>IF($J22="","",INDEX(Cursos!$N$8:$N$47,MATCH($J22,Cursos!$S$8:$S$47,0)))</f>
        <v/>
      </c>
      <c r="G22" s="19">
        <f>IF($J22="","",INDEX(Cursos!$P$8:$P$47,MATCH($J22,Cursos!$S$8:$S$47,0)))</f>
        <v/>
      </c>
      <c r="H22" s="16">
        <f>IF($J22="","",INDEX(Cursos!$Q$8:$Q$47,MATCH($J22,Cursos!$S$8:$S$47,0)))</f>
        <v/>
      </c>
      <c r="J22" s="20">
        <f>IFERROR(SMALL(Cursos!$S$8:$S$47,8),"")</f>
        <v/>
      </c>
    </row>
    <row r="24">
      <c r="B24" s="13" t="inlineStr">
        <is>
          <t>HORAS DEDICADAS CADA SEMANA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E6:F6"/>
    <mergeCell ref="C6:D6"/>
    <mergeCell ref="G9:H9"/>
    <mergeCell ref="C5:D5"/>
    <mergeCell ref="G5:H5"/>
    <mergeCell ref="E5:F5"/>
    <mergeCell ref="B2:H2"/>
    <mergeCell ref="G6:H6"/>
    <mergeCell ref="C9:D9"/>
    <mergeCell ref="G8:H8"/>
    <mergeCell ref="B3:H3"/>
    <mergeCell ref="E9:F9"/>
    <mergeCell ref="E8:F8"/>
    <mergeCell ref="C8:D8"/>
  </mergeCells>
  <conditionalFormatting sqref="H15:H22">
    <cfRule type="cellIs" priority="1" operator="equal" dxfId="0">
      <formula>"Atrasado"</formula>
    </cfRule>
    <cfRule type="cellIs" priority="2" operator="equal" dxfId="1">
      <formula>"En curso"</formula>
    </cfRule>
    <cfRule type="cellIs" priority="3" operator="equal" dxfId="2">
      <formula>"Sin empezar"</formula>
    </cfRule>
  </conditionalFormatting>
  <conditionalFormatting sqref="E15:E22">
    <cfRule type="dataBar" priority="4">
      <dataBar>
        <cfvo type="num" val="0"/>
        <cfvo type="max"/>
        <color rgb="0010B981"/>
      </dataBar>
    </cfRule>
  </conditionalFormatting>
  <dataValidations count="1">
    <dataValidation sqref="F11" showDropDown="0" showInputMessage="0" showErrorMessage="1" allowBlank="0" errorTitle="Margen" error="Escribe un porcentaje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S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17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1" customWidth="1" min="9" max="9"/>
    <col width="13" customWidth="1" min="10" max="10"/>
    <col width="10" customWidth="1" min="11" max="11"/>
    <col width="12" customWidth="1" min="12" max="12"/>
    <col width="11" customWidth="1" min="13" max="13"/>
    <col width="12" customWidth="1" min="14" max="14"/>
    <col width="10" customWidth="1" min="15" max="15"/>
    <col width="12" customWidth="1" min="16" max="16"/>
    <col width="13" customWidth="1" min="17" max="17"/>
    <col width="11" customWidth="1" min="18" max="18"/>
    <col hidden="1" width="9" customWidth="1" min="19" max="19"/>
  </cols>
  <sheetData>
    <row r="2" ht="34" customHeight="1">
      <c r="B2" s="1" t="inlineStr">
        <is>
          <t>Mis cursos online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Un curso por fila: rellena las celdas crema y el % completado, las horas, el ritmo y el estado se calculan solos.</t>
        </is>
      </c>
    </row>
    <row r="5">
      <c r="B5" s="9" t="inlineStr">
        <is>
          <t>Hoy:</t>
        </is>
      </c>
      <c r="C5" s="21">
        <f>TODAY()</f>
        <v/>
      </c>
      <c r="D5" s="12" t="inlineStr">
        <is>
          <t>Las horas dedicadas suman las «previas» más lo anotado en la hoja Sesiones.</t>
        </is>
      </c>
    </row>
    <row r="7" ht="44" customHeight="1">
      <c r="B7" s="14" t="inlineStr">
        <is>
          <t>Curso</t>
        </is>
      </c>
      <c r="C7" s="14" t="inlineStr">
        <is>
          <t>Plataforma</t>
        </is>
      </c>
      <c r="D7" s="14" t="inlineStr">
        <is>
          <t>Horas totales</t>
        </is>
      </c>
      <c r="E7" s="14" t="inlineStr">
        <is>
          <t>Módulos</t>
        </is>
      </c>
      <c r="F7" s="14" t="inlineStr">
        <is>
          <t>Módulos hechos</t>
        </is>
      </c>
      <c r="G7" s="14" t="inlineStr">
        <is>
          <t>Fecha inicio</t>
        </is>
      </c>
      <c r="H7" s="14" t="inlineStr">
        <is>
          <t>Fin objetivo</t>
        </is>
      </c>
      <c r="I7" s="14" t="inlineStr">
        <is>
          <t>Coste (€)</t>
        </is>
      </c>
      <c r="J7" s="14" t="inlineStr">
        <is>
          <t>Certificado</t>
        </is>
      </c>
      <c r="K7" s="14" t="inlineStr">
        <is>
          <t>Horas previas</t>
        </is>
      </c>
      <c r="L7" s="14" t="inlineStr">
        <is>
          <t>% completado</t>
        </is>
      </c>
      <c r="M7" s="14" t="inlineStr">
        <is>
          <t>Horas dedicadas</t>
        </is>
      </c>
      <c r="N7" s="14" t="inlineStr">
        <is>
          <t>Horas de temario que faltan</t>
        </is>
      </c>
      <c r="O7" s="14" t="inlineStr">
        <is>
          <t>Días hasta el fin</t>
        </is>
      </c>
      <c r="P7" s="14" t="inlineStr">
        <is>
          <t>Ritmo necesario (h/sem)</t>
        </is>
      </c>
      <c r="Q7" s="14" t="inlineStr">
        <is>
          <t>Estado</t>
        </is>
      </c>
      <c r="R7" s="14" t="inlineStr">
        <is>
          <t>Coste por hora de curso</t>
        </is>
      </c>
      <c r="S7" s="22" t="inlineStr">
        <is>
          <t>Clave (aux.)</t>
        </is>
      </c>
    </row>
    <row r="8">
      <c r="B8" s="23" t="inlineStr">
        <is>
          <t>Excel avanzado y tablas dinámicas</t>
        </is>
      </c>
      <c r="C8" s="24" t="inlineStr">
        <is>
          <t>Udemy</t>
        </is>
      </c>
      <c r="D8" s="10" t="n">
        <v>18</v>
      </c>
      <c r="E8" s="25" t="n">
        <v>12</v>
      </c>
      <c r="F8" s="25" t="n">
        <v>12</v>
      </c>
      <c r="G8" s="26" t="n">
        <v>46174</v>
      </c>
      <c r="H8" s="26" t="n">
        <v>46218</v>
      </c>
      <c r="I8" s="27" t="n">
        <v>14.99</v>
      </c>
      <c r="J8" s="24" t="inlineStr">
        <is>
          <t>Obtenido</t>
        </is>
      </c>
      <c r="K8" s="10" t="n">
        <v>19</v>
      </c>
      <c r="L8" s="28">
        <f>IF(B8="","",IF(N(E8)&gt;0,MIN(1,F8/E8),0))</f>
        <v/>
      </c>
      <c r="M8" s="19">
        <f>IF(B8="","",N(K8)+SUMIF(Sesiones!$C$8:$C$67,B8,Sesiones!$D$8:$D$67))</f>
        <v/>
      </c>
      <c r="N8" s="19">
        <f>IF(B8="","",ROUND(N(D8)*(1-L8),1))</f>
        <v/>
      </c>
      <c r="O8" s="29">
        <f>IF(OR(B8="",H8="",L8&gt;=1),"",H8-Cursos!$C$5)</f>
        <v/>
      </c>
      <c r="P8" s="19">
        <f>IF(OR(B8="",H8="",L8&gt;=1),"",ROUND(N8/(MAX(H8-MAX(Cursos!$C$5,G8),7)/7),1))</f>
        <v/>
      </c>
      <c r="Q8" s="16">
        <f>IF(B8="","",IF(L8&gt;=1,"Completado",IF(AND(ISNUMBER(G8),G8&gt;Cursos!$C$5,M8=0),"Sin empezar",IF(AND(ISNUMBER(H8),H8&lt;Cursos!$C$5),"Atrasado",IF(AND(ISNUMBER(G8),ISNUMBER(H8),H8&gt;G8,L8&lt;MIN(1,(Cursos!$C$5-G8)/(H8-G8))-Panel!$F$11),"Atrasado","En curso")))))</f>
        <v/>
      </c>
      <c r="R8" s="30">
        <f>IF(OR(B8="",N(D8)=0),"",ROUND(I8/D8,2))</f>
        <v/>
      </c>
      <c r="S8" s="31">
        <f>IF(OR(B8="",Q8="Completado"),"",IF(H8="",99999,H8)+ROW()/100000)</f>
        <v/>
      </c>
    </row>
    <row r="9">
      <c r="B9" s="23" t="inlineStr">
        <is>
          <t>Inglés B2: preparación del First</t>
        </is>
      </c>
      <c r="C9" s="24" t="inlineStr">
        <is>
          <t>Coursera</t>
        </is>
      </c>
      <c r="D9" s="10" t="n">
        <v>40</v>
      </c>
      <c r="E9" s="25" t="n">
        <v>10</v>
      </c>
      <c r="F9" s="25" t="n">
        <v>6</v>
      </c>
      <c r="G9" s="26" t="n">
        <v>46209</v>
      </c>
      <c r="H9" s="26" t="n">
        <v>46356</v>
      </c>
      <c r="I9" s="27" t="n">
        <v>49</v>
      </c>
      <c r="J9" s="24" t="inlineStr">
        <is>
          <t>Pendiente</t>
        </is>
      </c>
      <c r="K9" s="10" t="n">
        <v>6</v>
      </c>
      <c r="L9" s="28">
        <f>IF(B9="","",IF(N(E9)&gt;0,MIN(1,F9/E9),0))</f>
        <v/>
      </c>
      <c r="M9" s="19">
        <f>IF(B9="","",N(K9)+SUMIF(Sesiones!$C$8:$C$67,B9,Sesiones!$D$8:$D$67))</f>
        <v/>
      </c>
      <c r="N9" s="19">
        <f>IF(B9="","",ROUND(N(D9)*(1-L9),1))</f>
        <v/>
      </c>
      <c r="O9" s="29">
        <f>IF(OR(B9="",H9="",L9&gt;=1),"",H9-Cursos!$C$5)</f>
        <v/>
      </c>
      <c r="P9" s="19">
        <f>IF(OR(B9="",H9="",L9&gt;=1),"",ROUND(N9/(MAX(H9-MAX(Cursos!$C$5,G9),7)/7),1))</f>
        <v/>
      </c>
      <c r="Q9" s="16">
        <f>IF(B9="","",IF(L9&gt;=1,"Completado",IF(AND(ISNUMBER(G9),G9&gt;Cursos!$C$5,M9=0),"Sin empezar",IF(AND(ISNUMBER(H9),H9&lt;Cursos!$C$5),"Atrasado",IF(AND(ISNUMBER(G9),ISNUMBER(H9),H9&gt;G9,L9&lt;MIN(1,(Cursos!$C$5-G9)/(H9-G9))-Panel!$F$11),"Atrasado","En curso")))))</f>
        <v/>
      </c>
      <c r="R9" s="30">
        <f>IF(OR(B9="",N(D9)=0),"",ROUND(I9/D9,2))</f>
        <v/>
      </c>
      <c r="S9" s="31">
        <f>IF(OR(B9="",Q9="Completado"),"",IF(H9="",99999,H9)+ROW()/100000)</f>
        <v/>
      </c>
    </row>
    <row r="10">
      <c r="B10" s="23" t="inlineStr">
        <is>
          <t>Introducción a Python</t>
        </is>
      </c>
      <c r="C10" s="24" t="inlineStr">
        <is>
          <t>edX</t>
        </is>
      </c>
      <c r="D10" s="10" t="n">
        <v>36</v>
      </c>
      <c r="E10" s="25" t="n">
        <v>9</v>
      </c>
      <c r="F10" s="25" t="n">
        <v>4</v>
      </c>
      <c r="G10" s="26" t="n">
        <v>46237</v>
      </c>
      <c r="H10" s="26" t="n">
        <v>46374</v>
      </c>
      <c r="I10" s="27" t="n">
        <v>0</v>
      </c>
      <c r="J10" s="24" t="inlineStr">
        <is>
          <t>No</t>
        </is>
      </c>
      <c r="K10" s="10" t="n">
        <v>0</v>
      </c>
      <c r="L10" s="28">
        <f>IF(B10="","",IF(N(E10)&gt;0,MIN(1,F10/E10),0))</f>
        <v/>
      </c>
      <c r="M10" s="19">
        <f>IF(B10="","",N(K10)+SUMIF(Sesiones!$C$8:$C$67,B10,Sesiones!$D$8:$D$67))</f>
        <v/>
      </c>
      <c r="N10" s="19">
        <f>IF(B10="","",ROUND(N(D10)*(1-L10),1))</f>
        <v/>
      </c>
      <c r="O10" s="29">
        <f>IF(OR(B10="",H10="",L10&gt;=1),"",H10-Cursos!$C$5)</f>
        <v/>
      </c>
      <c r="P10" s="19">
        <f>IF(OR(B10="",H10="",L10&gt;=1),"",ROUND(N10/(MAX(H10-MAX(Cursos!$C$5,G10),7)/7),1))</f>
        <v/>
      </c>
      <c r="Q10" s="16">
        <f>IF(B10="","",IF(L10&gt;=1,"Completado",IF(AND(ISNUMBER(G10),G10&gt;Cursos!$C$5,M10=0),"Sin empezar",IF(AND(ISNUMBER(H10),H10&lt;Cursos!$C$5),"Atrasado",IF(AND(ISNUMBER(G10),ISNUMBER(H10),H10&gt;G10,L10&lt;MIN(1,(Cursos!$C$5-G10)/(H10-G10))-Panel!$F$11),"Atrasado","En curso")))))</f>
        <v/>
      </c>
      <c r="R10" s="30">
        <f>IF(OR(B10="",N(D10)=0),"",ROUND(I10/D10,2))</f>
        <v/>
      </c>
      <c r="S10" s="31">
        <f>IF(OR(B10="",Q10="Completado"),"",IF(H10="",99999,H10)+ROW()/100000)</f>
        <v/>
      </c>
    </row>
    <row r="11">
      <c r="B11" s="23" t="inlineStr">
        <is>
          <t>Marketing digital desde cero</t>
        </is>
      </c>
      <c r="C11" s="24" t="inlineStr">
        <is>
          <t>Domestika</t>
        </is>
      </c>
      <c r="D11" s="10" t="n">
        <v>12</v>
      </c>
      <c r="E11" s="25" t="n">
        <v>8</v>
      </c>
      <c r="F11" s="25" t="n">
        <v>8</v>
      </c>
      <c r="G11" s="26" t="n">
        <v>46146</v>
      </c>
      <c r="H11" s="26" t="n">
        <v>46203</v>
      </c>
      <c r="I11" s="27" t="n">
        <v>29.9</v>
      </c>
      <c r="J11" s="24" t="inlineStr">
        <is>
          <t>Obtenido</t>
        </is>
      </c>
      <c r="K11" s="10" t="n">
        <v>13</v>
      </c>
      <c r="L11" s="28">
        <f>IF(B11="","",IF(N(E11)&gt;0,MIN(1,F11/E11),0))</f>
        <v/>
      </c>
      <c r="M11" s="19">
        <f>IF(B11="","",N(K11)+SUMIF(Sesiones!$C$8:$C$67,B11,Sesiones!$D$8:$D$67))</f>
        <v/>
      </c>
      <c r="N11" s="19">
        <f>IF(B11="","",ROUND(N(D11)*(1-L11),1))</f>
        <v/>
      </c>
      <c r="O11" s="29">
        <f>IF(OR(B11="",H11="",L11&gt;=1),"",H11-Cursos!$C$5)</f>
        <v/>
      </c>
      <c r="P11" s="19">
        <f>IF(OR(B11="",H11="",L11&gt;=1),"",ROUND(N11/(MAX(H11-MAX(Cursos!$C$5,G11),7)/7),1))</f>
        <v/>
      </c>
      <c r="Q11" s="16">
        <f>IF(B11="","",IF(L11&gt;=1,"Completado",IF(AND(ISNUMBER(G11),G11&gt;Cursos!$C$5,M11=0),"Sin empezar",IF(AND(ISNUMBER(H11),H11&lt;Cursos!$C$5),"Atrasado",IF(AND(ISNUMBER(G11),ISNUMBER(H11),H11&gt;G11,L11&lt;MIN(1,(Cursos!$C$5-G11)/(H11-G11))-Panel!$F$11),"Atrasado","En curso")))))</f>
        <v/>
      </c>
      <c r="R11" s="30">
        <f>IF(OR(B11="",N(D11)=0),"",ROUND(I11/D11,2))</f>
        <v/>
      </c>
      <c r="S11" s="31">
        <f>IF(OR(B11="",Q11="Completado"),"",IF(H11="",99999,H11)+ROW()/100000)</f>
        <v/>
      </c>
    </row>
    <row r="12">
      <c r="B12" s="23" t="inlineStr">
        <is>
          <t>Gestión de proyectos ágil</t>
        </is>
      </c>
      <c r="C12" s="24" t="inlineStr">
        <is>
          <t>Udemy</t>
        </is>
      </c>
      <c r="D12" s="10" t="n">
        <v>22</v>
      </c>
      <c r="E12" s="25" t="n">
        <v>14</v>
      </c>
      <c r="F12" s="25" t="n">
        <v>5</v>
      </c>
      <c r="G12" s="26" t="n">
        <v>46251</v>
      </c>
      <c r="H12" s="26" t="n">
        <v>46325</v>
      </c>
      <c r="I12" s="27" t="n">
        <v>12.99</v>
      </c>
      <c r="J12" s="24" t="inlineStr">
        <is>
          <t>Pendiente</t>
        </is>
      </c>
      <c r="K12" s="10" t="n">
        <v>0</v>
      </c>
      <c r="L12" s="28">
        <f>IF(B12="","",IF(N(E12)&gt;0,MIN(1,F12/E12),0))</f>
        <v/>
      </c>
      <c r="M12" s="19">
        <f>IF(B12="","",N(K12)+SUMIF(Sesiones!$C$8:$C$67,B12,Sesiones!$D$8:$D$67))</f>
        <v/>
      </c>
      <c r="N12" s="19">
        <f>IF(B12="","",ROUND(N(D12)*(1-L12),1))</f>
        <v/>
      </c>
      <c r="O12" s="29">
        <f>IF(OR(B12="",H12="",L12&gt;=1),"",H12-Cursos!$C$5)</f>
        <v/>
      </c>
      <c r="P12" s="19">
        <f>IF(OR(B12="",H12="",L12&gt;=1),"",ROUND(N12/(MAX(H12-MAX(Cursos!$C$5,G12),7)/7),1))</f>
        <v/>
      </c>
      <c r="Q12" s="16">
        <f>IF(B12="","",IF(L12&gt;=1,"Completado",IF(AND(ISNUMBER(G12),G12&gt;Cursos!$C$5,M12=0),"Sin empezar",IF(AND(ISNUMBER(H12),H12&lt;Cursos!$C$5),"Atrasado",IF(AND(ISNUMBER(G12),ISNUMBER(H12),H12&gt;G12,L12&lt;MIN(1,(Cursos!$C$5-G12)/(H12-G12))-Panel!$F$11),"Atrasado","En curso")))))</f>
        <v/>
      </c>
      <c r="R12" s="30">
        <f>IF(OR(B12="",N(D12)=0),"",ROUND(I12/D12,2))</f>
        <v/>
      </c>
      <c r="S12" s="31">
        <f>IF(OR(B12="",Q12="Completado"),"",IF(H12="",99999,H12)+ROW()/100000)</f>
        <v/>
      </c>
    </row>
    <row r="13">
      <c r="B13" s="23" t="inlineStr">
        <is>
          <t>Diseño UX/UI básico</t>
        </is>
      </c>
      <c r="C13" s="24" t="inlineStr">
        <is>
          <t>Domestika</t>
        </is>
      </c>
      <c r="D13" s="10" t="n">
        <v>15</v>
      </c>
      <c r="E13" s="25" t="n">
        <v>10</v>
      </c>
      <c r="F13" s="25" t="n">
        <v>0</v>
      </c>
      <c r="G13" s="26" t="n">
        <v>46307</v>
      </c>
      <c r="H13" s="26" t="n">
        <v>46371</v>
      </c>
      <c r="I13" s="27" t="n">
        <v>24.9</v>
      </c>
      <c r="J13" s="24" t="inlineStr">
        <is>
          <t>Pendiente</t>
        </is>
      </c>
      <c r="K13" s="10" t="n">
        <v>0</v>
      </c>
      <c r="L13" s="28">
        <f>IF(B13="","",IF(N(E13)&gt;0,MIN(1,F13/E13),0))</f>
        <v/>
      </c>
      <c r="M13" s="19">
        <f>IF(B13="","",N(K13)+SUMIF(Sesiones!$C$8:$C$67,B13,Sesiones!$D$8:$D$67))</f>
        <v/>
      </c>
      <c r="N13" s="19">
        <f>IF(B13="","",ROUND(N(D13)*(1-L13),1))</f>
        <v/>
      </c>
      <c r="O13" s="29">
        <f>IF(OR(B13="",H13="",L13&gt;=1),"",H13-Cursos!$C$5)</f>
        <v/>
      </c>
      <c r="P13" s="19">
        <f>IF(OR(B13="",H13="",L13&gt;=1),"",ROUND(N13/(MAX(H13-MAX(Cursos!$C$5,G13),7)/7),1))</f>
        <v/>
      </c>
      <c r="Q13" s="16">
        <f>IF(B13="","",IF(L13&gt;=1,"Completado",IF(AND(ISNUMBER(G13),G13&gt;Cursos!$C$5,M13=0),"Sin empezar",IF(AND(ISNUMBER(H13),H13&lt;Cursos!$C$5),"Atrasado",IF(AND(ISNUMBER(G13),ISNUMBER(H13),H13&gt;G13,L13&lt;MIN(1,(Cursos!$C$5-G13)/(H13-G13))-Panel!$F$11),"Atrasado","En curso")))))</f>
        <v/>
      </c>
      <c r="R13" s="30">
        <f>IF(OR(B13="",N(D13)=0),"",ROUND(I13/D13,2))</f>
        <v/>
      </c>
      <c r="S13" s="31">
        <f>IF(OR(B13="",Q13="Completado"),"",IF(H13="",99999,H13)+ROW()/100000)</f>
        <v/>
      </c>
    </row>
    <row r="14">
      <c r="B14" s="23" t="inlineStr">
        <is>
          <t>Contabilidad financiera</t>
        </is>
      </c>
      <c r="C14" s="24" t="inlineStr">
        <is>
          <t>Coursera</t>
        </is>
      </c>
      <c r="D14" s="10" t="n">
        <v>28</v>
      </c>
      <c r="E14" s="25" t="n">
        <v>7</v>
      </c>
      <c r="F14" s="25" t="n">
        <v>3</v>
      </c>
      <c r="G14" s="26" t="n">
        <v>46272</v>
      </c>
      <c r="H14" s="26" t="n">
        <v>46346</v>
      </c>
      <c r="I14" s="27" t="n">
        <v>39</v>
      </c>
      <c r="J14" s="24" t="inlineStr">
        <is>
          <t>Pendiente</t>
        </is>
      </c>
      <c r="K14" s="10" t="n">
        <v>0</v>
      </c>
      <c r="L14" s="28">
        <f>IF(B14="","",IF(N(E14)&gt;0,MIN(1,F14/E14),0))</f>
        <v/>
      </c>
      <c r="M14" s="19">
        <f>IF(B14="","",N(K14)+SUMIF(Sesiones!$C$8:$C$67,B14,Sesiones!$D$8:$D$67))</f>
        <v/>
      </c>
      <c r="N14" s="19">
        <f>IF(B14="","",ROUND(N(D14)*(1-L14),1))</f>
        <v/>
      </c>
      <c r="O14" s="29">
        <f>IF(OR(B14="",H14="",L14&gt;=1),"",H14-Cursos!$C$5)</f>
        <v/>
      </c>
      <c r="P14" s="19">
        <f>IF(OR(B14="",H14="",L14&gt;=1),"",ROUND(N14/(MAX(H14-MAX(Cursos!$C$5,G14),7)/7),1))</f>
        <v/>
      </c>
      <c r="Q14" s="16">
        <f>IF(B14="","",IF(L14&gt;=1,"Completado",IF(AND(ISNUMBER(G14),G14&gt;Cursos!$C$5,M14=0),"Sin empezar",IF(AND(ISNUMBER(H14),H14&lt;Cursos!$C$5),"Atrasado",IF(AND(ISNUMBER(G14),ISNUMBER(H14),H14&gt;G14,L14&lt;MIN(1,(Cursos!$C$5-G14)/(H14-G14))-Panel!$F$11),"Atrasado","En curso")))))</f>
        <v/>
      </c>
      <c r="R14" s="30">
        <f>IF(OR(B14="",N(D14)=0),"",ROUND(I14/D14,2))</f>
        <v/>
      </c>
      <c r="S14" s="31">
        <f>IF(OR(B14="",Q14="Completado"),"",IF(H14="",99999,H14)+ROW()/100000)</f>
        <v/>
      </c>
    </row>
    <row r="15">
      <c r="B15" s="23" t="inlineStr">
        <is>
          <t>Fotografía con el móvil</t>
        </is>
      </c>
      <c r="C15" s="24" t="inlineStr">
        <is>
          <t>YouTube</t>
        </is>
      </c>
      <c r="D15" s="10" t="n">
        <v>6</v>
      </c>
      <c r="E15" s="25" t="n">
        <v>6</v>
      </c>
      <c r="F15" s="25" t="n">
        <v>6</v>
      </c>
      <c r="G15" s="26" t="n">
        <v>46204</v>
      </c>
      <c r="H15" s="26" t="n">
        <v>46234</v>
      </c>
      <c r="I15" s="27" t="n">
        <v>0</v>
      </c>
      <c r="J15" s="24" t="inlineStr">
        <is>
          <t>No</t>
        </is>
      </c>
      <c r="K15" s="10" t="n">
        <v>6.5</v>
      </c>
      <c r="L15" s="28">
        <f>IF(B15="","",IF(N(E15)&gt;0,MIN(1,F15/E15),0))</f>
        <v/>
      </c>
      <c r="M15" s="19">
        <f>IF(B15="","",N(K15)+SUMIF(Sesiones!$C$8:$C$67,B15,Sesiones!$D$8:$D$67))</f>
        <v/>
      </c>
      <c r="N15" s="19">
        <f>IF(B15="","",ROUND(N(D15)*(1-L15),1))</f>
        <v/>
      </c>
      <c r="O15" s="29">
        <f>IF(OR(B15="",H15="",L15&gt;=1),"",H15-Cursos!$C$5)</f>
        <v/>
      </c>
      <c r="P15" s="19">
        <f>IF(OR(B15="",H15="",L15&gt;=1),"",ROUND(N15/(MAX(H15-MAX(Cursos!$C$5,G15),7)/7),1))</f>
        <v/>
      </c>
      <c r="Q15" s="16">
        <f>IF(B15="","",IF(L15&gt;=1,"Completado",IF(AND(ISNUMBER(G15),G15&gt;Cursos!$C$5,M15=0),"Sin empezar",IF(AND(ISNUMBER(H15),H15&lt;Cursos!$C$5),"Atrasado",IF(AND(ISNUMBER(G15),ISNUMBER(H15),H15&gt;G15,L15&lt;MIN(1,(Cursos!$C$5-G15)/(H15-G15))-Panel!$F$11),"Atrasado","En curso")))))</f>
        <v/>
      </c>
      <c r="R15" s="30">
        <f>IF(OR(B15="",N(D15)=0),"",ROUND(I15/D15,2))</f>
        <v/>
      </c>
      <c r="S15" s="31">
        <f>IF(OR(B15="",Q15="Completado"),"",IF(H15="",99999,H15)+ROW()/100000)</f>
        <v/>
      </c>
    </row>
    <row r="16">
      <c r="B16" s="23" t="inlineStr">
        <is>
          <t>SQL para análisis de datos</t>
        </is>
      </c>
      <c r="C16" s="24" t="inlineStr">
        <is>
          <t>LinkedIn Learning</t>
        </is>
      </c>
      <c r="D16" s="10" t="n">
        <v>10</v>
      </c>
      <c r="E16" s="25" t="n">
        <v>8</v>
      </c>
      <c r="F16" s="25" t="n">
        <v>2</v>
      </c>
      <c r="G16" s="26" t="n">
        <v>46279</v>
      </c>
      <c r="H16" s="26" t="n">
        <v>46309</v>
      </c>
      <c r="I16" s="27" t="n">
        <v>29.99</v>
      </c>
      <c r="J16" s="24" t="inlineStr">
        <is>
          <t>Pendiente</t>
        </is>
      </c>
      <c r="K16" s="10" t="n">
        <v>0</v>
      </c>
      <c r="L16" s="28">
        <f>IF(B16="","",IF(N(E16)&gt;0,MIN(1,F16/E16),0))</f>
        <v/>
      </c>
      <c r="M16" s="19">
        <f>IF(B16="","",N(K16)+SUMIF(Sesiones!$C$8:$C$67,B16,Sesiones!$D$8:$D$67))</f>
        <v/>
      </c>
      <c r="N16" s="19">
        <f>IF(B16="","",ROUND(N(D16)*(1-L16),1))</f>
        <v/>
      </c>
      <c r="O16" s="29">
        <f>IF(OR(B16="",H16="",L16&gt;=1),"",H16-Cursos!$C$5)</f>
        <v/>
      </c>
      <c r="P16" s="19">
        <f>IF(OR(B16="",H16="",L16&gt;=1),"",ROUND(N16/(MAX(H16-MAX(Cursos!$C$5,G16),7)/7),1))</f>
        <v/>
      </c>
      <c r="Q16" s="16">
        <f>IF(B16="","",IF(L16&gt;=1,"Completado",IF(AND(ISNUMBER(G16),G16&gt;Cursos!$C$5,M16=0),"Sin empezar",IF(AND(ISNUMBER(H16),H16&lt;Cursos!$C$5),"Atrasado",IF(AND(ISNUMBER(G16),ISNUMBER(H16),H16&gt;G16,L16&lt;MIN(1,(Cursos!$C$5-G16)/(H16-G16))-Panel!$F$11),"Atrasado","En curso")))))</f>
        <v/>
      </c>
      <c r="R16" s="30">
        <f>IF(OR(B16="",N(D16)=0),"",ROUND(I16/D16,2))</f>
        <v/>
      </c>
      <c r="S16" s="31">
        <f>IF(OR(B16="",Q16="Completado"),"",IF(H16="",99999,H16)+ROW()/100000)</f>
        <v/>
      </c>
    </row>
    <row r="17">
      <c r="B17" s="23" t="inlineStr">
        <is>
          <t>Oratoria y presentaciones</t>
        </is>
      </c>
      <c r="C17" s="24" t="inlineStr">
        <is>
          <t>Miríadax</t>
        </is>
      </c>
      <c r="D17" s="10" t="n">
        <v>20</v>
      </c>
      <c r="E17" s="25" t="n">
        <v>10</v>
      </c>
      <c r="F17" s="25" t="n">
        <v>7</v>
      </c>
      <c r="G17" s="26" t="n">
        <v>46216</v>
      </c>
      <c r="H17" s="26" t="n">
        <v>46341</v>
      </c>
      <c r="I17" s="27" t="n">
        <v>19</v>
      </c>
      <c r="J17" s="24" t="inlineStr">
        <is>
          <t>Pendiente</t>
        </is>
      </c>
      <c r="K17" s="10" t="n">
        <v>5</v>
      </c>
      <c r="L17" s="28">
        <f>IF(B17="","",IF(N(E17)&gt;0,MIN(1,F17/E17),0))</f>
        <v/>
      </c>
      <c r="M17" s="19">
        <f>IF(B17="","",N(K17)+SUMIF(Sesiones!$C$8:$C$67,B17,Sesiones!$D$8:$D$67))</f>
        <v/>
      </c>
      <c r="N17" s="19">
        <f>IF(B17="","",ROUND(N(D17)*(1-L17),1))</f>
        <v/>
      </c>
      <c r="O17" s="29">
        <f>IF(OR(B17="",H17="",L17&gt;=1),"",H17-Cursos!$C$5)</f>
        <v/>
      </c>
      <c r="P17" s="19">
        <f>IF(OR(B17="",H17="",L17&gt;=1),"",ROUND(N17/(MAX(H17-MAX(Cursos!$C$5,G17),7)/7),1))</f>
        <v/>
      </c>
      <c r="Q17" s="16">
        <f>IF(B17="","",IF(L17&gt;=1,"Completado",IF(AND(ISNUMBER(G17),G17&gt;Cursos!$C$5,M17=0),"Sin empezar",IF(AND(ISNUMBER(H17),H17&lt;Cursos!$C$5),"Atrasado",IF(AND(ISNUMBER(G17),ISNUMBER(H17),H17&gt;G17,L17&lt;MIN(1,(Cursos!$C$5-G17)/(H17-G17))-Panel!$F$11),"Atrasado","En curso")))))</f>
        <v/>
      </c>
      <c r="R17" s="30">
        <f>IF(OR(B17="",N(D17)=0),"",ROUND(I17/D17,2))</f>
        <v/>
      </c>
      <c r="S17" s="31">
        <f>IF(OR(B17="",Q17="Completado"),"",IF(H17="",99999,H17)+ROW()/100000)</f>
        <v/>
      </c>
    </row>
    <row r="18">
      <c r="B18" s="23" t="n"/>
      <c r="C18" s="24" t="n"/>
      <c r="D18" s="10" t="n"/>
      <c r="E18" s="25" t="n"/>
      <c r="F18" s="25" t="n"/>
      <c r="G18" s="26" t="n"/>
      <c r="H18" s="26" t="n"/>
      <c r="I18" s="27" t="n"/>
      <c r="J18" s="24" t="n"/>
      <c r="K18" s="10" t="n"/>
      <c r="L18" s="28">
        <f>IF(B18="","",IF(N(E18)&gt;0,MIN(1,F18/E18),0))</f>
        <v/>
      </c>
      <c r="M18" s="19">
        <f>IF(B18="","",N(K18)+SUMIF(Sesiones!$C$8:$C$67,B18,Sesiones!$D$8:$D$67))</f>
        <v/>
      </c>
      <c r="N18" s="19">
        <f>IF(B18="","",ROUND(N(D18)*(1-L18),1))</f>
        <v/>
      </c>
      <c r="O18" s="29">
        <f>IF(OR(B18="",H18="",L18&gt;=1),"",H18-Cursos!$C$5)</f>
        <v/>
      </c>
      <c r="P18" s="19">
        <f>IF(OR(B18="",H18="",L18&gt;=1),"",ROUND(N18/(MAX(H18-MAX(Cursos!$C$5,G18),7)/7),1))</f>
        <v/>
      </c>
      <c r="Q18" s="16">
        <f>IF(B18="","",IF(L18&gt;=1,"Completado",IF(AND(ISNUMBER(G18),G18&gt;Cursos!$C$5,M18=0),"Sin empezar",IF(AND(ISNUMBER(H18),H18&lt;Cursos!$C$5),"Atrasado",IF(AND(ISNUMBER(G18),ISNUMBER(H18),H18&gt;G18,L18&lt;MIN(1,(Cursos!$C$5-G18)/(H18-G18))-Panel!$F$11),"Atrasado","En curso")))))</f>
        <v/>
      </c>
      <c r="R18" s="30">
        <f>IF(OR(B18="",N(D18)=0),"",ROUND(I18/D18,2))</f>
        <v/>
      </c>
      <c r="S18" s="31">
        <f>IF(OR(B18="",Q18="Completado"),"",IF(H18="",99999,H18)+ROW()/100000)</f>
        <v/>
      </c>
    </row>
    <row r="19">
      <c r="B19" s="23" t="n"/>
      <c r="C19" s="24" t="n"/>
      <c r="D19" s="10" t="n"/>
      <c r="E19" s="25" t="n"/>
      <c r="F19" s="25" t="n"/>
      <c r="G19" s="26" t="n"/>
      <c r="H19" s="26" t="n"/>
      <c r="I19" s="27" t="n"/>
      <c r="J19" s="24" t="n"/>
      <c r="K19" s="10" t="n"/>
      <c r="L19" s="28">
        <f>IF(B19="","",IF(N(E19)&gt;0,MIN(1,F19/E19),0))</f>
        <v/>
      </c>
      <c r="M19" s="19">
        <f>IF(B19="","",N(K19)+SUMIF(Sesiones!$C$8:$C$67,B19,Sesiones!$D$8:$D$67))</f>
        <v/>
      </c>
      <c r="N19" s="19">
        <f>IF(B19="","",ROUND(N(D19)*(1-L19),1))</f>
        <v/>
      </c>
      <c r="O19" s="29">
        <f>IF(OR(B19="",H19="",L19&gt;=1),"",H19-Cursos!$C$5)</f>
        <v/>
      </c>
      <c r="P19" s="19">
        <f>IF(OR(B19="",H19="",L19&gt;=1),"",ROUND(N19/(MAX(H19-MAX(Cursos!$C$5,G19),7)/7),1))</f>
        <v/>
      </c>
      <c r="Q19" s="16">
        <f>IF(B19="","",IF(L19&gt;=1,"Completado",IF(AND(ISNUMBER(G19),G19&gt;Cursos!$C$5,M19=0),"Sin empezar",IF(AND(ISNUMBER(H19),H19&lt;Cursos!$C$5),"Atrasado",IF(AND(ISNUMBER(G19),ISNUMBER(H19),H19&gt;G19,L19&lt;MIN(1,(Cursos!$C$5-G19)/(H19-G19))-Panel!$F$11),"Atrasado","En curso")))))</f>
        <v/>
      </c>
      <c r="R19" s="30">
        <f>IF(OR(B19="",N(D19)=0),"",ROUND(I19/D19,2))</f>
        <v/>
      </c>
      <c r="S19" s="31">
        <f>IF(OR(B19="",Q19="Completado"),"",IF(H19="",99999,H19)+ROW()/100000)</f>
        <v/>
      </c>
    </row>
    <row r="20">
      <c r="B20" s="23" t="n"/>
      <c r="C20" s="24" t="n"/>
      <c r="D20" s="10" t="n"/>
      <c r="E20" s="25" t="n"/>
      <c r="F20" s="25" t="n"/>
      <c r="G20" s="26" t="n"/>
      <c r="H20" s="26" t="n"/>
      <c r="I20" s="27" t="n"/>
      <c r="J20" s="24" t="n"/>
      <c r="K20" s="10" t="n"/>
      <c r="L20" s="28">
        <f>IF(B20="","",IF(N(E20)&gt;0,MIN(1,F20/E20),0))</f>
        <v/>
      </c>
      <c r="M20" s="19">
        <f>IF(B20="","",N(K20)+SUMIF(Sesiones!$C$8:$C$67,B20,Sesiones!$D$8:$D$67))</f>
        <v/>
      </c>
      <c r="N20" s="19">
        <f>IF(B20="","",ROUND(N(D20)*(1-L20),1))</f>
        <v/>
      </c>
      <c r="O20" s="29">
        <f>IF(OR(B20="",H20="",L20&gt;=1),"",H20-Cursos!$C$5)</f>
        <v/>
      </c>
      <c r="P20" s="19">
        <f>IF(OR(B20="",H20="",L20&gt;=1),"",ROUND(N20/(MAX(H20-MAX(Cursos!$C$5,G20),7)/7),1))</f>
        <v/>
      </c>
      <c r="Q20" s="16">
        <f>IF(B20="","",IF(L20&gt;=1,"Completado",IF(AND(ISNUMBER(G20),G20&gt;Cursos!$C$5,M20=0),"Sin empezar",IF(AND(ISNUMBER(H20),H20&lt;Cursos!$C$5),"Atrasado",IF(AND(ISNUMBER(G20),ISNUMBER(H20),H20&gt;G20,L20&lt;MIN(1,(Cursos!$C$5-G20)/(H20-G20))-Panel!$F$11),"Atrasado","En curso")))))</f>
        <v/>
      </c>
      <c r="R20" s="30">
        <f>IF(OR(B20="",N(D20)=0),"",ROUND(I20/D20,2))</f>
        <v/>
      </c>
      <c r="S20" s="31">
        <f>IF(OR(B20="",Q20="Completado"),"",IF(H20="",99999,H20)+ROW()/100000)</f>
        <v/>
      </c>
    </row>
    <row r="21">
      <c r="B21" s="23" t="n"/>
      <c r="C21" s="24" t="n"/>
      <c r="D21" s="10" t="n"/>
      <c r="E21" s="25" t="n"/>
      <c r="F21" s="25" t="n"/>
      <c r="G21" s="26" t="n"/>
      <c r="H21" s="26" t="n"/>
      <c r="I21" s="27" t="n"/>
      <c r="J21" s="24" t="n"/>
      <c r="K21" s="10" t="n"/>
      <c r="L21" s="28">
        <f>IF(B21="","",IF(N(E21)&gt;0,MIN(1,F21/E21),0))</f>
        <v/>
      </c>
      <c r="M21" s="19">
        <f>IF(B21="","",N(K21)+SUMIF(Sesiones!$C$8:$C$67,B21,Sesiones!$D$8:$D$67))</f>
        <v/>
      </c>
      <c r="N21" s="19">
        <f>IF(B21="","",ROUND(N(D21)*(1-L21),1))</f>
        <v/>
      </c>
      <c r="O21" s="29">
        <f>IF(OR(B21="",H21="",L21&gt;=1),"",H21-Cursos!$C$5)</f>
        <v/>
      </c>
      <c r="P21" s="19">
        <f>IF(OR(B21="",H21="",L21&gt;=1),"",ROUND(N21/(MAX(H21-MAX(Cursos!$C$5,G21),7)/7),1))</f>
        <v/>
      </c>
      <c r="Q21" s="16">
        <f>IF(B21="","",IF(L21&gt;=1,"Completado",IF(AND(ISNUMBER(G21),G21&gt;Cursos!$C$5,M21=0),"Sin empezar",IF(AND(ISNUMBER(H21),H21&lt;Cursos!$C$5),"Atrasado",IF(AND(ISNUMBER(G21),ISNUMBER(H21),H21&gt;G21,L21&lt;MIN(1,(Cursos!$C$5-G21)/(H21-G21))-Panel!$F$11),"Atrasado","En curso")))))</f>
        <v/>
      </c>
      <c r="R21" s="30">
        <f>IF(OR(B21="",N(D21)=0),"",ROUND(I21/D21,2))</f>
        <v/>
      </c>
      <c r="S21" s="31">
        <f>IF(OR(B21="",Q21="Completado"),"",IF(H21="",99999,H21)+ROW()/100000)</f>
        <v/>
      </c>
    </row>
    <row r="22">
      <c r="B22" s="23" t="n"/>
      <c r="C22" s="24" t="n"/>
      <c r="D22" s="10" t="n"/>
      <c r="E22" s="25" t="n"/>
      <c r="F22" s="25" t="n"/>
      <c r="G22" s="26" t="n"/>
      <c r="H22" s="26" t="n"/>
      <c r="I22" s="27" t="n"/>
      <c r="J22" s="24" t="n"/>
      <c r="K22" s="10" t="n"/>
      <c r="L22" s="28">
        <f>IF(B22="","",IF(N(E22)&gt;0,MIN(1,F22/E22),0))</f>
        <v/>
      </c>
      <c r="M22" s="19">
        <f>IF(B22="","",N(K22)+SUMIF(Sesiones!$C$8:$C$67,B22,Sesiones!$D$8:$D$67))</f>
        <v/>
      </c>
      <c r="N22" s="19">
        <f>IF(B22="","",ROUND(N(D22)*(1-L22),1))</f>
        <v/>
      </c>
      <c r="O22" s="29">
        <f>IF(OR(B22="",H22="",L22&gt;=1),"",H22-Cursos!$C$5)</f>
        <v/>
      </c>
      <c r="P22" s="19">
        <f>IF(OR(B22="",H22="",L22&gt;=1),"",ROUND(N22/(MAX(H22-MAX(Cursos!$C$5,G22),7)/7),1))</f>
        <v/>
      </c>
      <c r="Q22" s="16">
        <f>IF(B22="","",IF(L22&gt;=1,"Completado",IF(AND(ISNUMBER(G22),G22&gt;Cursos!$C$5,M22=0),"Sin empezar",IF(AND(ISNUMBER(H22),H22&lt;Cursos!$C$5),"Atrasado",IF(AND(ISNUMBER(G22),ISNUMBER(H22),H22&gt;G22,L22&lt;MIN(1,(Cursos!$C$5-G22)/(H22-G22))-Panel!$F$11),"Atrasado","En curso")))))</f>
        <v/>
      </c>
      <c r="R22" s="30">
        <f>IF(OR(B22="",N(D22)=0),"",ROUND(I22/D22,2))</f>
        <v/>
      </c>
      <c r="S22" s="31">
        <f>IF(OR(B22="",Q22="Completado"),"",IF(H22="",99999,H22)+ROW()/100000)</f>
        <v/>
      </c>
    </row>
    <row r="23">
      <c r="B23" s="23" t="n"/>
      <c r="C23" s="24" t="n"/>
      <c r="D23" s="10" t="n"/>
      <c r="E23" s="25" t="n"/>
      <c r="F23" s="25" t="n"/>
      <c r="G23" s="26" t="n"/>
      <c r="H23" s="26" t="n"/>
      <c r="I23" s="27" t="n"/>
      <c r="J23" s="24" t="n"/>
      <c r="K23" s="10" t="n"/>
      <c r="L23" s="28">
        <f>IF(B23="","",IF(N(E23)&gt;0,MIN(1,F23/E23),0))</f>
        <v/>
      </c>
      <c r="M23" s="19">
        <f>IF(B23="","",N(K23)+SUMIF(Sesiones!$C$8:$C$67,B23,Sesiones!$D$8:$D$67))</f>
        <v/>
      </c>
      <c r="N23" s="19">
        <f>IF(B23="","",ROUND(N(D23)*(1-L23),1))</f>
        <v/>
      </c>
      <c r="O23" s="29">
        <f>IF(OR(B23="",H23="",L23&gt;=1),"",H23-Cursos!$C$5)</f>
        <v/>
      </c>
      <c r="P23" s="19">
        <f>IF(OR(B23="",H23="",L23&gt;=1),"",ROUND(N23/(MAX(H23-MAX(Cursos!$C$5,G23),7)/7),1))</f>
        <v/>
      </c>
      <c r="Q23" s="16">
        <f>IF(B23="","",IF(L23&gt;=1,"Completado",IF(AND(ISNUMBER(G23),G23&gt;Cursos!$C$5,M23=0),"Sin empezar",IF(AND(ISNUMBER(H23),H23&lt;Cursos!$C$5),"Atrasado",IF(AND(ISNUMBER(G23),ISNUMBER(H23),H23&gt;G23,L23&lt;MIN(1,(Cursos!$C$5-G23)/(H23-G23))-Panel!$F$11),"Atrasado","En curso")))))</f>
        <v/>
      </c>
      <c r="R23" s="30">
        <f>IF(OR(B23="",N(D23)=0),"",ROUND(I23/D23,2))</f>
        <v/>
      </c>
      <c r="S23" s="31">
        <f>IF(OR(B23="",Q23="Completado"),"",IF(H23="",99999,H23)+ROW()/100000)</f>
        <v/>
      </c>
    </row>
    <row r="24">
      <c r="B24" s="23" t="n"/>
      <c r="C24" s="24" t="n"/>
      <c r="D24" s="10" t="n"/>
      <c r="E24" s="25" t="n"/>
      <c r="F24" s="25" t="n"/>
      <c r="G24" s="26" t="n"/>
      <c r="H24" s="26" t="n"/>
      <c r="I24" s="27" t="n"/>
      <c r="J24" s="24" t="n"/>
      <c r="K24" s="10" t="n"/>
      <c r="L24" s="28">
        <f>IF(B24="","",IF(N(E24)&gt;0,MIN(1,F24/E24),0))</f>
        <v/>
      </c>
      <c r="M24" s="19">
        <f>IF(B24="","",N(K24)+SUMIF(Sesiones!$C$8:$C$67,B24,Sesiones!$D$8:$D$67))</f>
        <v/>
      </c>
      <c r="N24" s="19">
        <f>IF(B24="","",ROUND(N(D24)*(1-L24),1))</f>
        <v/>
      </c>
      <c r="O24" s="29">
        <f>IF(OR(B24="",H24="",L24&gt;=1),"",H24-Cursos!$C$5)</f>
        <v/>
      </c>
      <c r="P24" s="19">
        <f>IF(OR(B24="",H24="",L24&gt;=1),"",ROUND(N24/(MAX(H24-MAX(Cursos!$C$5,G24),7)/7),1))</f>
        <v/>
      </c>
      <c r="Q24" s="16">
        <f>IF(B24="","",IF(L24&gt;=1,"Completado",IF(AND(ISNUMBER(G24),G24&gt;Cursos!$C$5,M24=0),"Sin empezar",IF(AND(ISNUMBER(H24),H24&lt;Cursos!$C$5),"Atrasado",IF(AND(ISNUMBER(G24),ISNUMBER(H24),H24&gt;G24,L24&lt;MIN(1,(Cursos!$C$5-G24)/(H24-G24))-Panel!$F$11),"Atrasado","En curso")))))</f>
        <v/>
      </c>
      <c r="R24" s="30">
        <f>IF(OR(B24="",N(D24)=0),"",ROUND(I24/D24,2))</f>
        <v/>
      </c>
      <c r="S24" s="31">
        <f>IF(OR(B24="",Q24="Completado"),"",IF(H24="",99999,H24)+ROW()/100000)</f>
        <v/>
      </c>
    </row>
    <row r="25">
      <c r="B25" s="23" t="n"/>
      <c r="C25" s="24" t="n"/>
      <c r="D25" s="10" t="n"/>
      <c r="E25" s="25" t="n"/>
      <c r="F25" s="25" t="n"/>
      <c r="G25" s="26" t="n"/>
      <c r="H25" s="26" t="n"/>
      <c r="I25" s="27" t="n"/>
      <c r="J25" s="24" t="n"/>
      <c r="K25" s="10" t="n"/>
      <c r="L25" s="28">
        <f>IF(B25="","",IF(N(E25)&gt;0,MIN(1,F25/E25),0))</f>
        <v/>
      </c>
      <c r="M25" s="19">
        <f>IF(B25="","",N(K25)+SUMIF(Sesiones!$C$8:$C$67,B25,Sesiones!$D$8:$D$67))</f>
        <v/>
      </c>
      <c r="N25" s="19">
        <f>IF(B25="","",ROUND(N(D25)*(1-L25),1))</f>
        <v/>
      </c>
      <c r="O25" s="29">
        <f>IF(OR(B25="",H25="",L25&gt;=1),"",H25-Cursos!$C$5)</f>
        <v/>
      </c>
      <c r="P25" s="19">
        <f>IF(OR(B25="",H25="",L25&gt;=1),"",ROUND(N25/(MAX(H25-MAX(Cursos!$C$5,G25),7)/7),1))</f>
        <v/>
      </c>
      <c r="Q25" s="16">
        <f>IF(B25="","",IF(L25&gt;=1,"Completado",IF(AND(ISNUMBER(G25),G25&gt;Cursos!$C$5,M25=0),"Sin empezar",IF(AND(ISNUMBER(H25),H25&lt;Cursos!$C$5),"Atrasado",IF(AND(ISNUMBER(G25),ISNUMBER(H25),H25&gt;G25,L25&lt;MIN(1,(Cursos!$C$5-G25)/(H25-G25))-Panel!$F$11),"Atrasado","En curso")))))</f>
        <v/>
      </c>
      <c r="R25" s="30">
        <f>IF(OR(B25="",N(D25)=0),"",ROUND(I25/D25,2))</f>
        <v/>
      </c>
      <c r="S25" s="31">
        <f>IF(OR(B25="",Q25="Completado"),"",IF(H25="",99999,H25)+ROW()/100000)</f>
        <v/>
      </c>
    </row>
    <row r="26">
      <c r="B26" s="23" t="n"/>
      <c r="C26" s="24" t="n"/>
      <c r="D26" s="10" t="n"/>
      <c r="E26" s="25" t="n"/>
      <c r="F26" s="25" t="n"/>
      <c r="G26" s="26" t="n"/>
      <c r="H26" s="26" t="n"/>
      <c r="I26" s="27" t="n"/>
      <c r="J26" s="24" t="n"/>
      <c r="K26" s="10" t="n"/>
      <c r="L26" s="28">
        <f>IF(B26="","",IF(N(E26)&gt;0,MIN(1,F26/E26),0))</f>
        <v/>
      </c>
      <c r="M26" s="19">
        <f>IF(B26="","",N(K26)+SUMIF(Sesiones!$C$8:$C$67,B26,Sesiones!$D$8:$D$67))</f>
        <v/>
      </c>
      <c r="N26" s="19">
        <f>IF(B26="","",ROUND(N(D26)*(1-L26),1))</f>
        <v/>
      </c>
      <c r="O26" s="29">
        <f>IF(OR(B26="",H26="",L26&gt;=1),"",H26-Cursos!$C$5)</f>
        <v/>
      </c>
      <c r="P26" s="19">
        <f>IF(OR(B26="",H26="",L26&gt;=1),"",ROUND(N26/(MAX(H26-MAX(Cursos!$C$5,G26),7)/7),1))</f>
        <v/>
      </c>
      <c r="Q26" s="16">
        <f>IF(B26="","",IF(L26&gt;=1,"Completado",IF(AND(ISNUMBER(G26),G26&gt;Cursos!$C$5,M26=0),"Sin empezar",IF(AND(ISNUMBER(H26),H26&lt;Cursos!$C$5),"Atrasado",IF(AND(ISNUMBER(G26),ISNUMBER(H26),H26&gt;G26,L26&lt;MIN(1,(Cursos!$C$5-G26)/(H26-G26))-Panel!$F$11),"Atrasado","En curso")))))</f>
        <v/>
      </c>
      <c r="R26" s="30">
        <f>IF(OR(B26="",N(D26)=0),"",ROUND(I26/D26,2))</f>
        <v/>
      </c>
      <c r="S26" s="31">
        <f>IF(OR(B26="",Q26="Completado"),"",IF(H26="",99999,H26)+ROW()/100000)</f>
        <v/>
      </c>
    </row>
    <row r="27">
      <c r="B27" s="23" t="n"/>
      <c r="C27" s="24" t="n"/>
      <c r="D27" s="10" t="n"/>
      <c r="E27" s="25" t="n"/>
      <c r="F27" s="25" t="n"/>
      <c r="G27" s="26" t="n"/>
      <c r="H27" s="26" t="n"/>
      <c r="I27" s="27" t="n"/>
      <c r="J27" s="24" t="n"/>
      <c r="K27" s="10" t="n"/>
      <c r="L27" s="28">
        <f>IF(B27="","",IF(N(E27)&gt;0,MIN(1,F27/E27),0))</f>
        <v/>
      </c>
      <c r="M27" s="19">
        <f>IF(B27="","",N(K27)+SUMIF(Sesiones!$C$8:$C$67,B27,Sesiones!$D$8:$D$67))</f>
        <v/>
      </c>
      <c r="N27" s="19">
        <f>IF(B27="","",ROUND(N(D27)*(1-L27),1))</f>
        <v/>
      </c>
      <c r="O27" s="29">
        <f>IF(OR(B27="",H27="",L27&gt;=1),"",H27-Cursos!$C$5)</f>
        <v/>
      </c>
      <c r="P27" s="19">
        <f>IF(OR(B27="",H27="",L27&gt;=1),"",ROUND(N27/(MAX(H27-MAX(Cursos!$C$5,G27),7)/7),1))</f>
        <v/>
      </c>
      <c r="Q27" s="16">
        <f>IF(B27="","",IF(L27&gt;=1,"Completado",IF(AND(ISNUMBER(G27),G27&gt;Cursos!$C$5,M27=0),"Sin empezar",IF(AND(ISNUMBER(H27),H27&lt;Cursos!$C$5),"Atrasado",IF(AND(ISNUMBER(G27),ISNUMBER(H27),H27&gt;G27,L27&lt;MIN(1,(Cursos!$C$5-G27)/(H27-G27))-Panel!$F$11),"Atrasado","En curso")))))</f>
        <v/>
      </c>
      <c r="R27" s="30">
        <f>IF(OR(B27="",N(D27)=0),"",ROUND(I27/D27,2))</f>
        <v/>
      </c>
      <c r="S27" s="31">
        <f>IF(OR(B27="",Q27="Completado"),"",IF(H27="",99999,H27)+ROW()/100000)</f>
        <v/>
      </c>
    </row>
    <row r="28">
      <c r="B28" s="23" t="n"/>
      <c r="C28" s="24" t="n"/>
      <c r="D28" s="10" t="n"/>
      <c r="E28" s="25" t="n"/>
      <c r="F28" s="25" t="n"/>
      <c r="G28" s="26" t="n"/>
      <c r="H28" s="26" t="n"/>
      <c r="I28" s="27" t="n"/>
      <c r="J28" s="24" t="n"/>
      <c r="K28" s="10" t="n"/>
      <c r="L28" s="28">
        <f>IF(B28="","",IF(N(E28)&gt;0,MIN(1,F28/E28),0))</f>
        <v/>
      </c>
      <c r="M28" s="19">
        <f>IF(B28="","",N(K28)+SUMIF(Sesiones!$C$8:$C$67,B28,Sesiones!$D$8:$D$67))</f>
        <v/>
      </c>
      <c r="N28" s="19">
        <f>IF(B28="","",ROUND(N(D28)*(1-L28),1))</f>
        <v/>
      </c>
      <c r="O28" s="29">
        <f>IF(OR(B28="",H28="",L28&gt;=1),"",H28-Cursos!$C$5)</f>
        <v/>
      </c>
      <c r="P28" s="19">
        <f>IF(OR(B28="",H28="",L28&gt;=1),"",ROUND(N28/(MAX(H28-MAX(Cursos!$C$5,G28),7)/7),1))</f>
        <v/>
      </c>
      <c r="Q28" s="16">
        <f>IF(B28="","",IF(L28&gt;=1,"Completado",IF(AND(ISNUMBER(G28),G28&gt;Cursos!$C$5,M28=0),"Sin empezar",IF(AND(ISNUMBER(H28),H28&lt;Cursos!$C$5),"Atrasado",IF(AND(ISNUMBER(G28),ISNUMBER(H28),H28&gt;G28,L28&lt;MIN(1,(Cursos!$C$5-G28)/(H28-G28))-Panel!$F$11),"Atrasado","En curso")))))</f>
        <v/>
      </c>
      <c r="R28" s="30">
        <f>IF(OR(B28="",N(D28)=0),"",ROUND(I28/D28,2))</f>
        <v/>
      </c>
      <c r="S28" s="31">
        <f>IF(OR(B28="",Q28="Completado"),"",IF(H28="",99999,H28)+ROW()/100000)</f>
        <v/>
      </c>
    </row>
    <row r="29">
      <c r="B29" s="23" t="n"/>
      <c r="C29" s="24" t="n"/>
      <c r="D29" s="10" t="n"/>
      <c r="E29" s="25" t="n"/>
      <c r="F29" s="25" t="n"/>
      <c r="G29" s="26" t="n"/>
      <c r="H29" s="26" t="n"/>
      <c r="I29" s="27" t="n"/>
      <c r="J29" s="24" t="n"/>
      <c r="K29" s="10" t="n"/>
      <c r="L29" s="28">
        <f>IF(B29="","",IF(N(E29)&gt;0,MIN(1,F29/E29),0))</f>
        <v/>
      </c>
      <c r="M29" s="19">
        <f>IF(B29="","",N(K29)+SUMIF(Sesiones!$C$8:$C$67,B29,Sesiones!$D$8:$D$67))</f>
        <v/>
      </c>
      <c r="N29" s="19">
        <f>IF(B29="","",ROUND(N(D29)*(1-L29),1))</f>
        <v/>
      </c>
      <c r="O29" s="29">
        <f>IF(OR(B29="",H29="",L29&gt;=1),"",H29-Cursos!$C$5)</f>
        <v/>
      </c>
      <c r="P29" s="19">
        <f>IF(OR(B29="",H29="",L29&gt;=1),"",ROUND(N29/(MAX(H29-MAX(Cursos!$C$5,G29),7)/7),1))</f>
        <v/>
      </c>
      <c r="Q29" s="16">
        <f>IF(B29="","",IF(L29&gt;=1,"Completado",IF(AND(ISNUMBER(G29),G29&gt;Cursos!$C$5,M29=0),"Sin empezar",IF(AND(ISNUMBER(H29),H29&lt;Cursos!$C$5),"Atrasado",IF(AND(ISNUMBER(G29),ISNUMBER(H29),H29&gt;G29,L29&lt;MIN(1,(Cursos!$C$5-G29)/(H29-G29))-Panel!$F$11),"Atrasado","En curso")))))</f>
        <v/>
      </c>
      <c r="R29" s="30">
        <f>IF(OR(B29="",N(D29)=0),"",ROUND(I29/D29,2))</f>
        <v/>
      </c>
      <c r="S29" s="31">
        <f>IF(OR(B29="",Q29="Completado"),"",IF(H29="",99999,H29)+ROW()/100000)</f>
        <v/>
      </c>
    </row>
    <row r="30">
      <c r="B30" s="23" t="n"/>
      <c r="C30" s="24" t="n"/>
      <c r="D30" s="10" t="n"/>
      <c r="E30" s="25" t="n"/>
      <c r="F30" s="25" t="n"/>
      <c r="G30" s="26" t="n"/>
      <c r="H30" s="26" t="n"/>
      <c r="I30" s="27" t="n"/>
      <c r="J30" s="24" t="n"/>
      <c r="K30" s="10" t="n"/>
      <c r="L30" s="28">
        <f>IF(B30="","",IF(N(E30)&gt;0,MIN(1,F30/E30),0))</f>
        <v/>
      </c>
      <c r="M30" s="19">
        <f>IF(B30="","",N(K30)+SUMIF(Sesiones!$C$8:$C$67,B30,Sesiones!$D$8:$D$67))</f>
        <v/>
      </c>
      <c r="N30" s="19">
        <f>IF(B30="","",ROUND(N(D30)*(1-L30),1))</f>
        <v/>
      </c>
      <c r="O30" s="29">
        <f>IF(OR(B30="",H30="",L30&gt;=1),"",H30-Cursos!$C$5)</f>
        <v/>
      </c>
      <c r="P30" s="19">
        <f>IF(OR(B30="",H30="",L30&gt;=1),"",ROUND(N30/(MAX(H30-MAX(Cursos!$C$5,G30),7)/7),1))</f>
        <v/>
      </c>
      <c r="Q30" s="16">
        <f>IF(B30="","",IF(L30&gt;=1,"Completado",IF(AND(ISNUMBER(G30),G30&gt;Cursos!$C$5,M30=0),"Sin empezar",IF(AND(ISNUMBER(H30),H30&lt;Cursos!$C$5),"Atrasado",IF(AND(ISNUMBER(G30),ISNUMBER(H30),H30&gt;G30,L30&lt;MIN(1,(Cursos!$C$5-G30)/(H30-G30))-Panel!$F$11),"Atrasado","En curso")))))</f>
        <v/>
      </c>
      <c r="R30" s="30">
        <f>IF(OR(B30="",N(D30)=0),"",ROUND(I30/D30,2))</f>
        <v/>
      </c>
      <c r="S30" s="31">
        <f>IF(OR(B30="",Q30="Completado"),"",IF(H30="",99999,H30)+ROW()/100000)</f>
        <v/>
      </c>
    </row>
    <row r="31">
      <c r="B31" s="23" t="n"/>
      <c r="C31" s="24" t="n"/>
      <c r="D31" s="10" t="n"/>
      <c r="E31" s="25" t="n"/>
      <c r="F31" s="25" t="n"/>
      <c r="G31" s="26" t="n"/>
      <c r="H31" s="26" t="n"/>
      <c r="I31" s="27" t="n"/>
      <c r="J31" s="24" t="n"/>
      <c r="K31" s="10" t="n"/>
      <c r="L31" s="28">
        <f>IF(B31="","",IF(N(E31)&gt;0,MIN(1,F31/E31),0))</f>
        <v/>
      </c>
      <c r="M31" s="19">
        <f>IF(B31="","",N(K31)+SUMIF(Sesiones!$C$8:$C$67,B31,Sesiones!$D$8:$D$67))</f>
        <v/>
      </c>
      <c r="N31" s="19">
        <f>IF(B31="","",ROUND(N(D31)*(1-L31),1))</f>
        <v/>
      </c>
      <c r="O31" s="29">
        <f>IF(OR(B31="",H31="",L31&gt;=1),"",H31-Cursos!$C$5)</f>
        <v/>
      </c>
      <c r="P31" s="19">
        <f>IF(OR(B31="",H31="",L31&gt;=1),"",ROUND(N31/(MAX(H31-MAX(Cursos!$C$5,G31),7)/7),1))</f>
        <v/>
      </c>
      <c r="Q31" s="16">
        <f>IF(B31="","",IF(L31&gt;=1,"Completado",IF(AND(ISNUMBER(G31),G31&gt;Cursos!$C$5,M31=0),"Sin empezar",IF(AND(ISNUMBER(H31),H31&lt;Cursos!$C$5),"Atrasado",IF(AND(ISNUMBER(G31),ISNUMBER(H31),H31&gt;G31,L31&lt;MIN(1,(Cursos!$C$5-G31)/(H31-G31))-Panel!$F$11),"Atrasado","En curso")))))</f>
        <v/>
      </c>
      <c r="R31" s="30">
        <f>IF(OR(B31="",N(D31)=0),"",ROUND(I31/D31,2))</f>
        <v/>
      </c>
      <c r="S31" s="31">
        <f>IF(OR(B31="",Q31="Completado"),"",IF(H31="",99999,H31)+ROW()/100000)</f>
        <v/>
      </c>
    </row>
    <row r="32">
      <c r="B32" s="23" t="n"/>
      <c r="C32" s="24" t="n"/>
      <c r="D32" s="10" t="n"/>
      <c r="E32" s="25" t="n"/>
      <c r="F32" s="25" t="n"/>
      <c r="G32" s="26" t="n"/>
      <c r="H32" s="26" t="n"/>
      <c r="I32" s="27" t="n"/>
      <c r="J32" s="24" t="n"/>
      <c r="K32" s="10" t="n"/>
      <c r="L32" s="28">
        <f>IF(B32="","",IF(N(E32)&gt;0,MIN(1,F32/E32),0))</f>
        <v/>
      </c>
      <c r="M32" s="19">
        <f>IF(B32="","",N(K32)+SUMIF(Sesiones!$C$8:$C$67,B32,Sesiones!$D$8:$D$67))</f>
        <v/>
      </c>
      <c r="N32" s="19">
        <f>IF(B32="","",ROUND(N(D32)*(1-L32),1))</f>
        <v/>
      </c>
      <c r="O32" s="29">
        <f>IF(OR(B32="",H32="",L32&gt;=1),"",H32-Cursos!$C$5)</f>
        <v/>
      </c>
      <c r="P32" s="19">
        <f>IF(OR(B32="",H32="",L32&gt;=1),"",ROUND(N32/(MAX(H32-MAX(Cursos!$C$5,G32),7)/7),1))</f>
        <v/>
      </c>
      <c r="Q32" s="16">
        <f>IF(B32="","",IF(L32&gt;=1,"Completado",IF(AND(ISNUMBER(G32),G32&gt;Cursos!$C$5,M32=0),"Sin empezar",IF(AND(ISNUMBER(H32),H32&lt;Cursos!$C$5),"Atrasado",IF(AND(ISNUMBER(G32),ISNUMBER(H32),H32&gt;G32,L32&lt;MIN(1,(Cursos!$C$5-G32)/(H32-G32))-Panel!$F$11),"Atrasado","En curso")))))</f>
        <v/>
      </c>
      <c r="R32" s="30">
        <f>IF(OR(B32="",N(D32)=0),"",ROUND(I32/D32,2))</f>
        <v/>
      </c>
      <c r="S32" s="31">
        <f>IF(OR(B32="",Q32="Completado"),"",IF(H32="",99999,H32)+ROW()/100000)</f>
        <v/>
      </c>
    </row>
    <row r="33">
      <c r="B33" s="23" t="n"/>
      <c r="C33" s="24" t="n"/>
      <c r="D33" s="10" t="n"/>
      <c r="E33" s="25" t="n"/>
      <c r="F33" s="25" t="n"/>
      <c r="G33" s="26" t="n"/>
      <c r="H33" s="26" t="n"/>
      <c r="I33" s="27" t="n"/>
      <c r="J33" s="24" t="n"/>
      <c r="K33" s="10" t="n"/>
      <c r="L33" s="28">
        <f>IF(B33="","",IF(N(E33)&gt;0,MIN(1,F33/E33),0))</f>
        <v/>
      </c>
      <c r="M33" s="19">
        <f>IF(B33="","",N(K33)+SUMIF(Sesiones!$C$8:$C$67,B33,Sesiones!$D$8:$D$67))</f>
        <v/>
      </c>
      <c r="N33" s="19">
        <f>IF(B33="","",ROUND(N(D33)*(1-L33),1))</f>
        <v/>
      </c>
      <c r="O33" s="29">
        <f>IF(OR(B33="",H33="",L33&gt;=1),"",H33-Cursos!$C$5)</f>
        <v/>
      </c>
      <c r="P33" s="19">
        <f>IF(OR(B33="",H33="",L33&gt;=1),"",ROUND(N33/(MAX(H33-MAX(Cursos!$C$5,G33),7)/7),1))</f>
        <v/>
      </c>
      <c r="Q33" s="16">
        <f>IF(B33="","",IF(L33&gt;=1,"Completado",IF(AND(ISNUMBER(G33),G33&gt;Cursos!$C$5,M33=0),"Sin empezar",IF(AND(ISNUMBER(H33),H33&lt;Cursos!$C$5),"Atrasado",IF(AND(ISNUMBER(G33),ISNUMBER(H33),H33&gt;G33,L33&lt;MIN(1,(Cursos!$C$5-G33)/(H33-G33))-Panel!$F$11),"Atrasado","En curso")))))</f>
        <v/>
      </c>
      <c r="R33" s="30">
        <f>IF(OR(B33="",N(D33)=0),"",ROUND(I33/D33,2))</f>
        <v/>
      </c>
      <c r="S33" s="31">
        <f>IF(OR(B33="",Q33="Completado"),"",IF(H33="",99999,H33)+ROW()/100000)</f>
        <v/>
      </c>
    </row>
    <row r="34">
      <c r="B34" s="23" t="n"/>
      <c r="C34" s="24" t="n"/>
      <c r="D34" s="10" t="n"/>
      <c r="E34" s="25" t="n"/>
      <c r="F34" s="25" t="n"/>
      <c r="G34" s="26" t="n"/>
      <c r="H34" s="26" t="n"/>
      <c r="I34" s="27" t="n"/>
      <c r="J34" s="24" t="n"/>
      <c r="K34" s="10" t="n"/>
      <c r="L34" s="28">
        <f>IF(B34="","",IF(N(E34)&gt;0,MIN(1,F34/E34),0))</f>
        <v/>
      </c>
      <c r="M34" s="19">
        <f>IF(B34="","",N(K34)+SUMIF(Sesiones!$C$8:$C$67,B34,Sesiones!$D$8:$D$67))</f>
        <v/>
      </c>
      <c r="N34" s="19">
        <f>IF(B34="","",ROUND(N(D34)*(1-L34),1))</f>
        <v/>
      </c>
      <c r="O34" s="29">
        <f>IF(OR(B34="",H34="",L34&gt;=1),"",H34-Cursos!$C$5)</f>
        <v/>
      </c>
      <c r="P34" s="19">
        <f>IF(OR(B34="",H34="",L34&gt;=1),"",ROUND(N34/(MAX(H34-MAX(Cursos!$C$5,G34),7)/7),1))</f>
        <v/>
      </c>
      <c r="Q34" s="16">
        <f>IF(B34="","",IF(L34&gt;=1,"Completado",IF(AND(ISNUMBER(G34),G34&gt;Cursos!$C$5,M34=0),"Sin empezar",IF(AND(ISNUMBER(H34),H34&lt;Cursos!$C$5),"Atrasado",IF(AND(ISNUMBER(G34),ISNUMBER(H34),H34&gt;G34,L34&lt;MIN(1,(Cursos!$C$5-G34)/(H34-G34))-Panel!$F$11),"Atrasado","En curso")))))</f>
        <v/>
      </c>
      <c r="R34" s="30">
        <f>IF(OR(B34="",N(D34)=0),"",ROUND(I34/D34,2))</f>
        <v/>
      </c>
      <c r="S34" s="31">
        <f>IF(OR(B34="",Q34="Completado"),"",IF(H34="",99999,H34)+ROW()/100000)</f>
        <v/>
      </c>
    </row>
    <row r="35">
      <c r="B35" s="23" t="n"/>
      <c r="C35" s="24" t="n"/>
      <c r="D35" s="10" t="n"/>
      <c r="E35" s="25" t="n"/>
      <c r="F35" s="25" t="n"/>
      <c r="G35" s="26" t="n"/>
      <c r="H35" s="26" t="n"/>
      <c r="I35" s="27" t="n"/>
      <c r="J35" s="24" t="n"/>
      <c r="K35" s="10" t="n"/>
      <c r="L35" s="28">
        <f>IF(B35="","",IF(N(E35)&gt;0,MIN(1,F35/E35),0))</f>
        <v/>
      </c>
      <c r="M35" s="19">
        <f>IF(B35="","",N(K35)+SUMIF(Sesiones!$C$8:$C$67,B35,Sesiones!$D$8:$D$67))</f>
        <v/>
      </c>
      <c r="N35" s="19">
        <f>IF(B35="","",ROUND(N(D35)*(1-L35),1))</f>
        <v/>
      </c>
      <c r="O35" s="29">
        <f>IF(OR(B35="",H35="",L35&gt;=1),"",H35-Cursos!$C$5)</f>
        <v/>
      </c>
      <c r="P35" s="19">
        <f>IF(OR(B35="",H35="",L35&gt;=1),"",ROUND(N35/(MAX(H35-MAX(Cursos!$C$5,G35),7)/7),1))</f>
        <v/>
      </c>
      <c r="Q35" s="16">
        <f>IF(B35="","",IF(L35&gt;=1,"Completado",IF(AND(ISNUMBER(G35),G35&gt;Cursos!$C$5,M35=0),"Sin empezar",IF(AND(ISNUMBER(H35),H35&lt;Cursos!$C$5),"Atrasado",IF(AND(ISNUMBER(G35),ISNUMBER(H35),H35&gt;G35,L35&lt;MIN(1,(Cursos!$C$5-G35)/(H35-G35))-Panel!$F$11),"Atrasado","En curso")))))</f>
        <v/>
      </c>
      <c r="R35" s="30">
        <f>IF(OR(B35="",N(D35)=0),"",ROUND(I35/D35,2))</f>
        <v/>
      </c>
      <c r="S35" s="31">
        <f>IF(OR(B35="",Q35="Completado"),"",IF(H35="",99999,H35)+ROW()/100000)</f>
        <v/>
      </c>
    </row>
    <row r="36">
      <c r="B36" s="23" t="n"/>
      <c r="C36" s="24" t="n"/>
      <c r="D36" s="10" t="n"/>
      <c r="E36" s="25" t="n"/>
      <c r="F36" s="25" t="n"/>
      <c r="G36" s="26" t="n"/>
      <c r="H36" s="26" t="n"/>
      <c r="I36" s="27" t="n"/>
      <c r="J36" s="24" t="n"/>
      <c r="K36" s="10" t="n"/>
      <c r="L36" s="28">
        <f>IF(B36="","",IF(N(E36)&gt;0,MIN(1,F36/E36),0))</f>
        <v/>
      </c>
      <c r="M36" s="19">
        <f>IF(B36="","",N(K36)+SUMIF(Sesiones!$C$8:$C$67,B36,Sesiones!$D$8:$D$67))</f>
        <v/>
      </c>
      <c r="N36" s="19">
        <f>IF(B36="","",ROUND(N(D36)*(1-L36),1))</f>
        <v/>
      </c>
      <c r="O36" s="29">
        <f>IF(OR(B36="",H36="",L36&gt;=1),"",H36-Cursos!$C$5)</f>
        <v/>
      </c>
      <c r="P36" s="19">
        <f>IF(OR(B36="",H36="",L36&gt;=1),"",ROUND(N36/(MAX(H36-MAX(Cursos!$C$5,G36),7)/7),1))</f>
        <v/>
      </c>
      <c r="Q36" s="16">
        <f>IF(B36="","",IF(L36&gt;=1,"Completado",IF(AND(ISNUMBER(G36),G36&gt;Cursos!$C$5,M36=0),"Sin empezar",IF(AND(ISNUMBER(H36),H36&lt;Cursos!$C$5),"Atrasado",IF(AND(ISNUMBER(G36),ISNUMBER(H36),H36&gt;G36,L36&lt;MIN(1,(Cursos!$C$5-G36)/(H36-G36))-Panel!$F$11),"Atrasado","En curso")))))</f>
        <v/>
      </c>
      <c r="R36" s="30">
        <f>IF(OR(B36="",N(D36)=0),"",ROUND(I36/D36,2))</f>
        <v/>
      </c>
      <c r="S36" s="31">
        <f>IF(OR(B36="",Q36="Completado"),"",IF(H36="",99999,H36)+ROW()/100000)</f>
        <v/>
      </c>
    </row>
    <row r="37">
      <c r="B37" s="23" t="n"/>
      <c r="C37" s="24" t="n"/>
      <c r="D37" s="10" t="n"/>
      <c r="E37" s="25" t="n"/>
      <c r="F37" s="25" t="n"/>
      <c r="G37" s="26" t="n"/>
      <c r="H37" s="26" t="n"/>
      <c r="I37" s="27" t="n"/>
      <c r="J37" s="24" t="n"/>
      <c r="K37" s="10" t="n"/>
      <c r="L37" s="28">
        <f>IF(B37="","",IF(N(E37)&gt;0,MIN(1,F37/E37),0))</f>
        <v/>
      </c>
      <c r="M37" s="19">
        <f>IF(B37="","",N(K37)+SUMIF(Sesiones!$C$8:$C$67,B37,Sesiones!$D$8:$D$67))</f>
        <v/>
      </c>
      <c r="N37" s="19">
        <f>IF(B37="","",ROUND(N(D37)*(1-L37),1))</f>
        <v/>
      </c>
      <c r="O37" s="29">
        <f>IF(OR(B37="",H37="",L37&gt;=1),"",H37-Cursos!$C$5)</f>
        <v/>
      </c>
      <c r="P37" s="19">
        <f>IF(OR(B37="",H37="",L37&gt;=1),"",ROUND(N37/(MAX(H37-MAX(Cursos!$C$5,G37),7)/7),1))</f>
        <v/>
      </c>
      <c r="Q37" s="16">
        <f>IF(B37="","",IF(L37&gt;=1,"Completado",IF(AND(ISNUMBER(G37),G37&gt;Cursos!$C$5,M37=0),"Sin empezar",IF(AND(ISNUMBER(H37),H37&lt;Cursos!$C$5),"Atrasado",IF(AND(ISNUMBER(G37),ISNUMBER(H37),H37&gt;G37,L37&lt;MIN(1,(Cursos!$C$5-G37)/(H37-G37))-Panel!$F$11),"Atrasado","En curso")))))</f>
        <v/>
      </c>
      <c r="R37" s="30">
        <f>IF(OR(B37="",N(D37)=0),"",ROUND(I37/D37,2))</f>
        <v/>
      </c>
      <c r="S37" s="31">
        <f>IF(OR(B37="",Q37="Completado"),"",IF(H37="",99999,H37)+ROW()/100000)</f>
        <v/>
      </c>
    </row>
    <row r="38">
      <c r="B38" s="23" t="n"/>
      <c r="C38" s="24" t="n"/>
      <c r="D38" s="10" t="n"/>
      <c r="E38" s="25" t="n"/>
      <c r="F38" s="25" t="n"/>
      <c r="G38" s="26" t="n"/>
      <c r="H38" s="26" t="n"/>
      <c r="I38" s="27" t="n"/>
      <c r="J38" s="24" t="n"/>
      <c r="K38" s="10" t="n"/>
      <c r="L38" s="28">
        <f>IF(B38="","",IF(N(E38)&gt;0,MIN(1,F38/E38),0))</f>
        <v/>
      </c>
      <c r="M38" s="19">
        <f>IF(B38="","",N(K38)+SUMIF(Sesiones!$C$8:$C$67,B38,Sesiones!$D$8:$D$67))</f>
        <v/>
      </c>
      <c r="N38" s="19">
        <f>IF(B38="","",ROUND(N(D38)*(1-L38),1))</f>
        <v/>
      </c>
      <c r="O38" s="29">
        <f>IF(OR(B38="",H38="",L38&gt;=1),"",H38-Cursos!$C$5)</f>
        <v/>
      </c>
      <c r="P38" s="19">
        <f>IF(OR(B38="",H38="",L38&gt;=1),"",ROUND(N38/(MAX(H38-MAX(Cursos!$C$5,G38),7)/7),1))</f>
        <v/>
      </c>
      <c r="Q38" s="16">
        <f>IF(B38="","",IF(L38&gt;=1,"Completado",IF(AND(ISNUMBER(G38),G38&gt;Cursos!$C$5,M38=0),"Sin empezar",IF(AND(ISNUMBER(H38),H38&lt;Cursos!$C$5),"Atrasado",IF(AND(ISNUMBER(G38),ISNUMBER(H38),H38&gt;G38,L38&lt;MIN(1,(Cursos!$C$5-G38)/(H38-G38))-Panel!$F$11),"Atrasado","En curso")))))</f>
        <v/>
      </c>
      <c r="R38" s="30">
        <f>IF(OR(B38="",N(D38)=0),"",ROUND(I38/D38,2))</f>
        <v/>
      </c>
      <c r="S38" s="31">
        <f>IF(OR(B38="",Q38="Completado"),"",IF(H38="",99999,H38)+ROW()/100000)</f>
        <v/>
      </c>
    </row>
    <row r="39">
      <c r="B39" s="23" t="n"/>
      <c r="C39" s="24" t="n"/>
      <c r="D39" s="10" t="n"/>
      <c r="E39" s="25" t="n"/>
      <c r="F39" s="25" t="n"/>
      <c r="G39" s="26" t="n"/>
      <c r="H39" s="26" t="n"/>
      <c r="I39" s="27" t="n"/>
      <c r="J39" s="24" t="n"/>
      <c r="K39" s="10" t="n"/>
      <c r="L39" s="28">
        <f>IF(B39="","",IF(N(E39)&gt;0,MIN(1,F39/E39),0))</f>
        <v/>
      </c>
      <c r="M39" s="19">
        <f>IF(B39="","",N(K39)+SUMIF(Sesiones!$C$8:$C$67,B39,Sesiones!$D$8:$D$67))</f>
        <v/>
      </c>
      <c r="N39" s="19">
        <f>IF(B39="","",ROUND(N(D39)*(1-L39),1))</f>
        <v/>
      </c>
      <c r="O39" s="29">
        <f>IF(OR(B39="",H39="",L39&gt;=1),"",H39-Cursos!$C$5)</f>
        <v/>
      </c>
      <c r="P39" s="19">
        <f>IF(OR(B39="",H39="",L39&gt;=1),"",ROUND(N39/(MAX(H39-MAX(Cursos!$C$5,G39),7)/7),1))</f>
        <v/>
      </c>
      <c r="Q39" s="16">
        <f>IF(B39="","",IF(L39&gt;=1,"Completado",IF(AND(ISNUMBER(G39),G39&gt;Cursos!$C$5,M39=0),"Sin empezar",IF(AND(ISNUMBER(H39),H39&lt;Cursos!$C$5),"Atrasado",IF(AND(ISNUMBER(G39),ISNUMBER(H39),H39&gt;G39,L39&lt;MIN(1,(Cursos!$C$5-G39)/(H39-G39))-Panel!$F$11),"Atrasado","En curso")))))</f>
        <v/>
      </c>
      <c r="R39" s="30">
        <f>IF(OR(B39="",N(D39)=0),"",ROUND(I39/D39,2))</f>
        <v/>
      </c>
      <c r="S39" s="31">
        <f>IF(OR(B39="",Q39="Completado"),"",IF(H39="",99999,H39)+ROW()/100000)</f>
        <v/>
      </c>
    </row>
    <row r="40">
      <c r="B40" s="23" t="n"/>
      <c r="C40" s="24" t="n"/>
      <c r="D40" s="10" t="n"/>
      <c r="E40" s="25" t="n"/>
      <c r="F40" s="25" t="n"/>
      <c r="G40" s="26" t="n"/>
      <c r="H40" s="26" t="n"/>
      <c r="I40" s="27" t="n"/>
      <c r="J40" s="24" t="n"/>
      <c r="K40" s="10" t="n"/>
      <c r="L40" s="28">
        <f>IF(B40="","",IF(N(E40)&gt;0,MIN(1,F40/E40),0))</f>
        <v/>
      </c>
      <c r="M40" s="19">
        <f>IF(B40="","",N(K40)+SUMIF(Sesiones!$C$8:$C$67,B40,Sesiones!$D$8:$D$67))</f>
        <v/>
      </c>
      <c r="N40" s="19">
        <f>IF(B40="","",ROUND(N(D40)*(1-L40),1))</f>
        <v/>
      </c>
      <c r="O40" s="29">
        <f>IF(OR(B40="",H40="",L40&gt;=1),"",H40-Cursos!$C$5)</f>
        <v/>
      </c>
      <c r="P40" s="19">
        <f>IF(OR(B40="",H40="",L40&gt;=1),"",ROUND(N40/(MAX(H40-MAX(Cursos!$C$5,G40),7)/7),1))</f>
        <v/>
      </c>
      <c r="Q40" s="16">
        <f>IF(B40="","",IF(L40&gt;=1,"Completado",IF(AND(ISNUMBER(G40),G40&gt;Cursos!$C$5,M40=0),"Sin empezar",IF(AND(ISNUMBER(H40),H40&lt;Cursos!$C$5),"Atrasado",IF(AND(ISNUMBER(G40),ISNUMBER(H40),H40&gt;G40,L40&lt;MIN(1,(Cursos!$C$5-G40)/(H40-G40))-Panel!$F$11),"Atrasado","En curso")))))</f>
        <v/>
      </c>
      <c r="R40" s="30">
        <f>IF(OR(B40="",N(D40)=0),"",ROUND(I40/D40,2))</f>
        <v/>
      </c>
      <c r="S40" s="31">
        <f>IF(OR(B40="",Q40="Completado"),"",IF(H40="",99999,H40)+ROW()/100000)</f>
        <v/>
      </c>
    </row>
    <row r="41">
      <c r="B41" s="23" t="n"/>
      <c r="C41" s="24" t="n"/>
      <c r="D41" s="10" t="n"/>
      <c r="E41" s="25" t="n"/>
      <c r="F41" s="25" t="n"/>
      <c r="G41" s="26" t="n"/>
      <c r="H41" s="26" t="n"/>
      <c r="I41" s="27" t="n"/>
      <c r="J41" s="24" t="n"/>
      <c r="K41" s="10" t="n"/>
      <c r="L41" s="28">
        <f>IF(B41="","",IF(N(E41)&gt;0,MIN(1,F41/E41),0))</f>
        <v/>
      </c>
      <c r="M41" s="19">
        <f>IF(B41="","",N(K41)+SUMIF(Sesiones!$C$8:$C$67,B41,Sesiones!$D$8:$D$67))</f>
        <v/>
      </c>
      <c r="N41" s="19">
        <f>IF(B41="","",ROUND(N(D41)*(1-L41),1))</f>
        <v/>
      </c>
      <c r="O41" s="29">
        <f>IF(OR(B41="",H41="",L41&gt;=1),"",H41-Cursos!$C$5)</f>
        <v/>
      </c>
      <c r="P41" s="19">
        <f>IF(OR(B41="",H41="",L41&gt;=1),"",ROUND(N41/(MAX(H41-MAX(Cursos!$C$5,G41),7)/7),1))</f>
        <v/>
      </c>
      <c r="Q41" s="16">
        <f>IF(B41="","",IF(L41&gt;=1,"Completado",IF(AND(ISNUMBER(G41),G41&gt;Cursos!$C$5,M41=0),"Sin empezar",IF(AND(ISNUMBER(H41),H41&lt;Cursos!$C$5),"Atrasado",IF(AND(ISNUMBER(G41),ISNUMBER(H41),H41&gt;G41,L41&lt;MIN(1,(Cursos!$C$5-G41)/(H41-G41))-Panel!$F$11),"Atrasado","En curso")))))</f>
        <v/>
      </c>
      <c r="R41" s="30">
        <f>IF(OR(B41="",N(D41)=0),"",ROUND(I41/D41,2))</f>
        <v/>
      </c>
      <c r="S41" s="31">
        <f>IF(OR(B41="",Q41="Completado"),"",IF(H41="",99999,H41)+ROW()/100000)</f>
        <v/>
      </c>
    </row>
    <row r="42">
      <c r="B42" s="23" t="n"/>
      <c r="C42" s="24" t="n"/>
      <c r="D42" s="10" t="n"/>
      <c r="E42" s="25" t="n"/>
      <c r="F42" s="25" t="n"/>
      <c r="G42" s="26" t="n"/>
      <c r="H42" s="26" t="n"/>
      <c r="I42" s="27" t="n"/>
      <c r="J42" s="24" t="n"/>
      <c r="K42" s="10" t="n"/>
      <c r="L42" s="28">
        <f>IF(B42="","",IF(N(E42)&gt;0,MIN(1,F42/E42),0))</f>
        <v/>
      </c>
      <c r="M42" s="19">
        <f>IF(B42="","",N(K42)+SUMIF(Sesiones!$C$8:$C$67,B42,Sesiones!$D$8:$D$67))</f>
        <v/>
      </c>
      <c r="N42" s="19">
        <f>IF(B42="","",ROUND(N(D42)*(1-L42),1))</f>
        <v/>
      </c>
      <c r="O42" s="29">
        <f>IF(OR(B42="",H42="",L42&gt;=1),"",H42-Cursos!$C$5)</f>
        <v/>
      </c>
      <c r="P42" s="19">
        <f>IF(OR(B42="",H42="",L42&gt;=1),"",ROUND(N42/(MAX(H42-MAX(Cursos!$C$5,G42),7)/7),1))</f>
        <v/>
      </c>
      <c r="Q42" s="16">
        <f>IF(B42="","",IF(L42&gt;=1,"Completado",IF(AND(ISNUMBER(G42),G42&gt;Cursos!$C$5,M42=0),"Sin empezar",IF(AND(ISNUMBER(H42),H42&lt;Cursos!$C$5),"Atrasado",IF(AND(ISNUMBER(G42),ISNUMBER(H42),H42&gt;G42,L42&lt;MIN(1,(Cursos!$C$5-G42)/(H42-G42))-Panel!$F$11),"Atrasado","En curso")))))</f>
        <v/>
      </c>
      <c r="R42" s="30">
        <f>IF(OR(B42="",N(D42)=0),"",ROUND(I42/D42,2))</f>
        <v/>
      </c>
      <c r="S42" s="31">
        <f>IF(OR(B42="",Q42="Completado"),"",IF(H42="",99999,H42)+ROW()/100000)</f>
        <v/>
      </c>
    </row>
    <row r="43">
      <c r="B43" s="23" t="n"/>
      <c r="C43" s="24" t="n"/>
      <c r="D43" s="10" t="n"/>
      <c r="E43" s="25" t="n"/>
      <c r="F43" s="25" t="n"/>
      <c r="G43" s="26" t="n"/>
      <c r="H43" s="26" t="n"/>
      <c r="I43" s="27" t="n"/>
      <c r="J43" s="24" t="n"/>
      <c r="K43" s="10" t="n"/>
      <c r="L43" s="28">
        <f>IF(B43="","",IF(N(E43)&gt;0,MIN(1,F43/E43),0))</f>
        <v/>
      </c>
      <c r="M43" s="19">
        <f>IF(B43="","",N(K43)+SUMIF(Sesiones!$C$8:$C$67,B43,Sesiones!$D$8:$D$67))</f>
        <v/>
      </c>
      <c r="N43" s="19">
        <f>IF(B43="","",ROUND(N(D43)*(1-L43),1))</f>
        <v/>
      </c>
      <c r="O43" s="29">
        <f>IF(OR(B43="",H43="",L43&gt;=1),"",H43-Cursos!$C$5)</f>
        <v/>
      </c>
      <c r="P43" s="19">
        <f>IF(OR(B43="",H43="",L43&gt;=1),"",ROUND(N43/(MAX(H43-MAX(Cursos!$C$5,G43),7)/7),1))</f>
        <v/>
      </c>
      <c r="Q43" s="16">
        <f>IF(B43="","",IF(L43&gt;=1,"Completado",IF(AND(ISNUMBER(G43),G43&gt;Cursos!$C$5,M43=0),"Sin empezar",IF(AND(ISNUMBER(H43),H43&lt;Cursos!$C$5),"Atrasado",IF(AND(ISNUMBER(G43),ISNUMBER(H43),H43&gt;G43,L43&lt;MIN(1,(Cursos!$C$5-G43)/(H43-G43))-Panel!$F$11),"Atrasado","En curso")))))</f>
        <v/>
      </c>
      <c r="R43" s="30">
        <f>IF(OR(B43="",N(D43)=0),"",ROUND(I43/D43,2))</f>
        <v/>
      </c>
      <c r="S43" s="31">
        <f>IF(OR(B43="",Q43="Completado"),"",IF(H43="",99999,H43)+ROW()/100000)</f>
        <v/>
      </c>
    </row>
    <row r="44">
      <c r="B44" s="23" t="n"/>
      <c r="C44" s="24" t="n"/>
      <c r="D44" s="10" t="n"/>
      <c r="E44" s="25" t="n"/>
      <c r="F44" s="25" t="n"/>
      <c r="G44" s="26" t="n"/>
      <c r="H44" s="26" t="n"/>
      <c r="I44" s="27" t="n"/>
      <c r="J44" s="24" t="n"/>
      <c r="K44" s="10" t="n"/>
      <c r="L44" s="28">
        <f>IF(B44="","",IF(N(E44)&gt;0,MIN(1,F44/E44),0))</f>
        <v/>
      </c>
      <c r="M44" s="19">
        <f>IF(B44="","",N(K44)+SUMIF(Sesiones!$C$8:$C$67,B44,Sesiones!$D$8:$D$67))</f>
        <v/>
      </c>
      <c r="N44" s="19">
        <f>IF(B44="","",ROUND(N(D44)*(1-L44),1))</f>
        <v/>
      </c>
      <c r="O44" s="29">
        <f>IF(OR(B44="",H44="",L44&gt;=1),"",H44-Cursos!$C$5)</f>
        <v/>
      </c>
      <c r="P44" s="19">
        <f>IF(OR(B44="",H44="",L44&gt;=1),"",ROUND(N44/(MAX(H44-MAX(Cursos!$C$5,G44),7)/7),1))</f>
        <v/>
      </c>
      <c r="Q44" s="16">
        <f>IF(B44="","",IF(L44&gt;=1,"Completado",IF(AND(ISNUMBER(G44),G44&gt;Cursos!$C$5,M44=0),"Sin empezar",IF(AND(ISNUMBER(H44),H44&lt;Cursos!$C$5),"Atrasado",IF(AND(ISNUMBER(G44),ISNUMBER(H44),H44&gt;G44,L44&lt;MIN(1,(Cursos!$C$5-G44)/(H44-G44))-Panel!$F$11),"Atrasado","En curso")))))</f>
        <v/>
      </c>
      <c r="R44" s="30">
        <f>IF(OR(B44="",N(D44)=0),"",ROUND(I44/D44,2))</f>
        <v/>
      </c>
      <c r="S44" s="31">
        <f>IF(OR(B44="",Q44="Completado"),"",IF(H44="",99999,H44)+ROW()/100000)</f>
        <v/>
      </c>
    </row>
    <row r="45">
      <c r="B45" s="23" t="n"/>
      <c r="C45" s="24" t="n"/>
      <c r="D45" s="10" t="n"/>
      <c r="E45" s="25" t="n"/>
      <c r="F45" s="25" t="n"/>
      <c r="G45" s="26" t="n"/>
      <c r="H45" s="26" t="n"/>
      <c r="I45" s="27" t="n"/>
      <c r="J45" s="24" t="n"/>
      <c r="K45" s="10" t="n"/>
      <c r="L45" s="28">
        <f>IF(B45="","",IF(N(E45)&gt;0,MIN(1,F45/E45),0))</f>
        <v/>
      </c>
      <c r="M45" s="19">
        <f>IF(B45="","",N(K45)+SUMIF(Sesiones!$C$8:$C$67,B45,Sesiones!$D$8:$D$67))</f>
        <v/>
      </c>
      <c r="N45" s="19">
        <f>IF(B45="","",ROUND(N(D45)*(1-L45),1))</f>
        <v/>
      </c>
      <c r="O45" s="29">
        <f>IF(OR(B45="",H45="",L45&gt;=1),"",H45-Cursos!$C$5)</f>
        <v/>
      </c>
      <c r="P45" s="19">
        <f>IF(OR(B45="",H45="",L45&gt;=1),"",ROUND(N45/(MAX(H45-MAX(Cursos!$C$5,G45),7)/7),1))</f>
        <v/>
      </c>
      <c r="Q45" s="16">
        <f>IF(B45="","",IF(L45&gt;=1,"Completado",IF(AND(ISNUMBER(G45),G45&gt;Cursos!$C$5,M45=0),"Sin empezar",IF(AND(ISNUMBER(H45),H45&lt;Cursos!$C$5),"Atrasado",IF(AND(ISNUMBER(G45),ISNUMBER(H45),H45&gt;G45,L45&lt;MIN(1,(Cursos!$C$5-G45)/(H45-G45))-Panel!$F$11),"Atrasado","En curso")))))</f>
        <v/>
      </c>
      <c r="R45" s="30">
        <f>IF(OR(B45="",N(D45)=0),"",ROUND(I45/D45,2))</f>
        <v/>
      </c>
      <c r="S45" s="31">
        <f>IF(OR(B45="",Q45="Completado"),"",IF(H45="",99999,H45)+ROW()/100000)</f>
        <v/>
      </c>
    </row>
    <row r="46">
      <c r="B46" s="23" t="n"/>
      <c r="C46" s="24" t="n"/>
      <c r="D46" s="10" t="n"/>
      <c r="E46" s="25" t="n"/>
      <c r="F46" s="25" t="n"/>
      <c r="G46" s="26" t="n"/>
      <c r="H46" s="26" t="n"/>
      <c r="I46" s="27" t="n"/>
      <c r="J46" s="24" t="n"/>
      <c r="K46" s="10" t="n"/>
      <c r="L46" s="28">
        <f>IF(B46="","",IF(N(E46)&gt;0,MIN(1,F46/E46),0))</f>
        <v/>
      </c>
      <c r="M46" s="19">
        <f>IF(B46="","",N(K46)+SUMIF(Sesiones!$C$8:$C$67,B46,Sesiones!$D$8:$D$67))</f>
        <v/>
      </c>
      <c r="N46" s="19">
        <f>IF(B46="","",ROUND(N(D46)*(1-L46),1))</f>
        <v/>
      </c>
      <c r="O46" s="29">
        <f>IF(OR(B46="",H46="",L46&gt;=1),"",H46-Cursos!$C$5)</f>
        <v/>
      </c>
      <c r="P46" s="19">
        <f>IF(OR(B46="",H46="",L46&gt;=1),"",ROUND(N46/(MAX(H46-MAX(Cursos!$C$5,G46),7)/7),1))</f>
        <v/>
      </c>
      <c r="Q46" s="16">
        <f>IF(B46="","",IF(L46&gt;=1,"Completado",IF(AND(ISNUMBER(G46),G46&gt;Cursos!$C$5,M46=0),"Sin empezar",IF(AND(ISNUMBER(H46),H46&lt;Cursos!$C$5),"Atrasado",IF(AND(ISNUMBER(G46),ISNUMBER(H46),H46&gt;G46,L46&lt;MIN(1,(Cursos!$C$5-G46)/(H46-G46))-Panel!$F$11),"Atrasado","En curso")))))</f>
        <v/>
      </c>
      <c r="R46" s="30">
        <f>IF(OR(B46="",N(D46)=0),"",ROUND(I46/D46,2))</f>
        <v/>
      </c>
      <c r="S46" s="31">
        <f>IF(OR(B46="",Q46="Completado"),"",IF(H46="",99999,H46)+ROW()/100000)</f>
        <v/>
      </c>
    </row>
    <row r="47">
      <c r="B47" s="23" t="n"/>
      <c r="C47" s="24" t="n"/>
      <c r="D47" s="10" t="n"/>
      <c r="E47" s="25" t="n"/>
      <c r="F47" s="25" t="n"/>
      <c r="G47" s="26" t="n"/>
      <c r="H47" s="26" t="n"/>
      <c r="I47" s="27" t="n"/>
      <c r="J47" s="24" t="n"/>
      <c r="K47" s="10" t="n"/>
      <c r="L47" s="28">
        <f>IF(B47="","",IF(N(E47)&gt;0,MIN(1,F47/E47),0))</f>
        <v/>
      </c>
      <c r="M47" s="19">
        <f>IF(B47="","",N(K47)+SUMIF(Sesiones!$C$8:$C$67,B47,Sesiones!$D$8:$D$67))</f>
        <v/>
      </c>
      <c r="N47" s="19">
        <f>IF(B47="","",ROUND(N(D47)*(1-L47),1))</f>
        <v/>
      </c>
      <c r="O47" s="29">
        <f>IF(OR(B47="",H47="",L47&gt;=1),"",H47-Cursos!$C$5)</f>
        <v/>
      </c>
      <c r="P47" s="19">
        <f>IF(OR(B47="",H47="",L47&gt;=1),"",ROUND(N47/(MAX(H47-MAX(Cursos!$C$5,G47),7)/7),1))</f>
        <v/>
      </c>
      <c r="Q47" s="16">
        <f>IF(B47="","",IF(L47&gt;=1,"Completado",IF(AND(ISNUMBER(G47),G47&gt;Cursos!$C$5,M47=0),"Sin empezar",IF(AND(ISNUMBER(H47),H47&lt;Cursos!$C$5),"Atrasado",IF(AND(ISNUMBER(G47),ISNUMBER(H47),H47&gt;G47,L47&lt;MIN(1,(Cursos!$C$5-G47)/(H47-G47))-Panel!$F$11),"Atrasado","En curso")))))</f>
        <v/>
      </c>
      <c r="R47" s="30">
        <f>IF(OR(B47="",N(D47)=0),"",ROUND(I47/D47,2))</f>
        <v/>
      </c>
      <c r="S47" s="31">
        <f>IF(OR(B47="",Q47="Completado"),"",IF(H47="",99999,H47)+ROW()/100000)</f>
        <v/>
      </c>
    </row>
    <row r="48">
      <c r="B48" s="32" t="inlineStr">
        <is>
          <t>Total</t>
        </is>
      </c>
      <c r="C48" s="32">
        <f>COUNTA(B8:B47)&amp;" cursos"</f>
        <v/>
      </c>
      <c r="D48" s="33">
        <f>SUM(D8:D47)</f>
        <v/>
      </c>
      <c r="E48" s="34">
        <f>SUM(E8:E47)</f>
        <v/>
      </c>
      <c r="F48" s="34">
        <f>SUM(F8:F47)</f>
        <v/>
      </c>
      <c r="G48" s="32" t="inlineStr"/>
      <c r="H48" s="32" t="inlineStr"/>
      <c r="I48" s="35">
        <f>SUM(I8:I47)</f>
        <v/>
      </c>
      <c r="J48" s="32" t="inlineStr"/>
      <c r="K48" s="33">
        <f>SUM(K8:K47)</f>
        <v/>
      </c>
      <c r="L48" s="36">
        <f>IFERROR(1-N48/D48,0)</f>
        <v/>
      </c>
      <c r="M48" s="33">
        <f>SUM(M8:M47)</f>
        <v/>
      </c>
      <c r="N48" s="33">
        <f>SUM(N8:N47)</f>
        <v/>
      </c>
      <c r="O48" s="32" t="inlineStr"/>
      <c r="P48" s="32" t="inlineStr"/>
      <c r="Q48" s="32" t="inlineStr"/>
      <c r="R48" s="35">
        <f>IFERROR(ROUND(I48/D48,2),"")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R2"/>
    <mergeCell ref="B3:R3"/>
  </mergeCells>
  <conditionalFormatting sqref="Q8:Q47">
    <cfRule type="cellIs" priority="1" operator="equal" dxfId="0">
      <formula>"Atrasado"</formula>
    </cfRule>
    <cfRule type="cellIs" priority="2" operator="equal" dxfId="3">
      <formula>"Completado"</formula>
    </cfRule>
    <cfRule type="cellIs" priority="3" operator="equal" dxfId="2">
      <formula>"Sin empezar"</formula>
    </cfRule>
    <cfRule type="cellIs" priority="4" operator="equal" dxfId="1">
      <formula>"En curso"</formula>
    </cfRule>
  </conditionalFormatting>
  <conditionalFormatting sqref="O8:O47">
    <cfRule type="expression" priority="5" dxfId="0">
      <formula>AND(ISNUMBER($O8),$O8&lt;=7)</formula>
    </cfRule>
  </conditionalFormatting>
  <conditionalFormatting sqref="L8:L47">
    <cfRule type="dataBar" priority="6">
      <dataBar>
        <cfvo type="num" val="0"/>
        <cfvo type="max"/>
        <color rgb="0010B981"/>
      </dataBar>
    </cfRule>
  </conditionalFormatting>
  <dataValidations count="4">
    <dataValidation sqref="C8:C47" showDropDown="0" showInputMessage="0" showErrorMessage="0" allowBlank="1" type="list">
      <formula1>=Análisis!$B$25:$B$32</formula1>
    </dataValidation>
    <dataValidation sqref="J8:J47" showDropDown="0" showInputMessage="0" showErrorMessage="0" allowBlank="1" type="list">
      <formula1>"No,Pendiente,Obtenido"</formula1>
    </dataValidation>
    <dataValidation sqref="D8:D47 I8:I47 K8:K47" showDropDown="0" showInputMessage="0" showErrorMessage="1" allowBlank="1" errorTitle="Valor" error="Introduce un número igual o mayor que 0." type="decimal" operator="greaterThanOrEqual">
      <formula1>0</formula1>
    </dataValidation>
    <dataValidation sqref="E8:F47" showDropDown="0" showInputMessage="0" showErrorMessage="1" allowBlank="1" errorTitle="Módulos" error="Escribe un número entero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H6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9" customWidth="1" min="4" max="4"/>
    <col width="36" customWidth="1" min="5" max="5"/>
    <col width="13" customWidth="1" min="6" max="6"/>
    <col width="12" customWidth="1" min="7" max="7"/>
    <col width="18" customWidth="1" min="8" max="8"/>
  </cols>
  <sheetData>
    <row r="2" ht="34" customHeight="1">
      <c r="B2" s="1" t="inlineStr">
        <is>
          <t>Registro de horas de estudio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Anota cada sesión: fecha, curso, horas y lo que has visto. La semana y la plataforma se rellenan solas.</t>
        </is>
      </c>
    </row>
    <row r="5">
      <c r="B5" s="37" t="inlineStr">
        <is>
          <t>Horas registradas:</t>
        </is>
      </c>
      <c r="D5" s="38">
        <f>SUM(D8:D67)</f>
        <v/>
      </c>
      <c r="E5" s="9" t="inlineStr">
        <is>
          <t>Sesiones anotadas:</t>
        </is>
      </c>
      <c r="F5" s="39">
        <f>COUNT(D8:D67)</f>
        <v/>
      </c>
    </row>
    <row r="7" ht="32" customHeight="1">
      <c r="B7" s="14" t="inlineStr">
        <is>
          <t>Fecha</t>
        </is>
      </c>
      <c r="C7" s="14" t="inlineStr">
        <is>
          <t>Curso</t>
        </is>
      </c>
      <c r="D7" s="14" t="inlineStr">
        <is>
          <t>Horas</t>
        </is>
      </c>
      <c r="E7" s="14" t="inlineStr">
        <is>
          <t>Tema o módulo</t>
        </is>
      </c>
      <c r="F7" s="14" t="inlineStr">
        <is>
          <t>Lunes de esa semana</t>
        </is>
      </c>
      <c r="G7" s="14" t="inlineStr">
        <is>
          <t>Mes</t>
        </is>
      </c>
      <c r="H7" s="14" t="inlineStr">
        <is>
          <t>Plataforma</t>
        </is>
      </c>
    </row>
    <row r="8">
      <c r="B8" s="26" t="n">
        <v>46224</v>
      </c>
      <c r="C8" s="23" t="inlineStr">
        <is>
          <t>Inglés B2: preparación del First</t>
        </is>
      </c>
      <c r="D8" s="10" t="n">
        <v>1.5</v>
      </c>
      <c r="E8" s="23" t="inlineStr">
        <is>
          <t>Módulo 5: Reading Part 2</t>
        </is>
      </c>
      <c r="F8" s="17">
        <f>IF(B8="","",B8-WEEKDAY(B8,2)+1)</f>
        <v/>
      </c>
      <c r="G8" s="40">
        <f>IF(B8="","",DATE(YEAR(B8),MONTH(B8),1))</f>
        <v/>
      </c>
      <c r="H8" s="16">
        <f>IF(C8="","",IFERROR(INDEX(Cursos!$C$8:$C$47,MATCH(C8,Cursos!$B$8:$B$47,0)),"¿Curso?"))</f>
        <v/>
      </c>
    </row>
    <row r="9">
      <c r="B9" s="26" t="n">
        <v>46225</v>
      </c>
      <c r="C9" s="23" t="inlineStr">
        <is>
          <t>Oratoria y presentaciones</t>
        </is>
      </c>
      <c r="D9" s="10" t="n">
        <v>1.5</v>
      </c>
      <c r="E9" s="23" t="inlineStr">
        <is>
          <t>Módulo 3: voz y ritmo</t>
        </is>
      </c>
      <c r="F9" s="17">
        <f>IF(B9="","",B9-WEEKDAY(B9,2)+1)</f>
        <v/>
      </c>
      <c r="G9" s="40">
        <f>IF(B9="","",DATE(YEAR(B9),MONTH(B9),1))</f>
        <v/>
      </c>
      <c r="H9" s="16">
        <f>IF(C9="","",IFERROR(INDEX(Cursos!$C$8:$C$47,MATCH(C9,Cursos!$B$8:$B$47,0)),"¿Curso?"))</f>
        <v/>
      </c>
    </row>
    <row r="10">
      <c r="B10" s="26" t="n">
        <v>46231</v>
      </c>
      <c r="C10" s="23" t="inlineStr">
        <is>
          <t>Inglés B2: preparación del First</t>
        </is>
      </c>
      <c r="D10" s="10" t="n">
        <v>2</v>
      </c>
      <c r="E10" s="23" t="inlineStr">
        <is>
          <t>Módulo 5: Use of English</t>
        </is>
      </c>
      <c r="F10" s="17">
        <f>IF(B10="","",B10-WEEKDAY(B10,2)+1)</f>
        <v/>
      </c>
      <c r="G10" s="40">
        <f>IF(B10="","",DATE(YEAR(B10),MONTH(B10),1))</f>
        <v/>
      </c>
      <c r="H10" s="16">
        <f>IF(C10="","",IFERROR(INDEX(Cursos!$C$8:$C$47,MATCH(C10,Cursos!$B$8:$B$47,0)),"¿Curso?"))</f>
        <v/>
      </c>
    </row>
    <row r="11">
      <c r="B11" s="26" t="n">
        <v>46232</v>
      </c>
      <c r="C11" s="23" t="inlineStr">
        <is>
          <t>Oratoria y presentaciones</t>
        </is>
      </c>
      <c r="D11" s="10" t="n">
        <v>1.5</v>
      </c>
      <c r="E11" s="23" t="inlineStr">
        <is>
          <t>Módulo 4: estructura del discurso</t>
        </is>
      </c>
      <c r="F11" s="17">
        <f>IF(B11="","",B11-WEEKDAY(B11,2)+1)</f>
        <v/>
      </c>
      <c r="G11" s="40">
        <f>IF(B11="","",DATE(YEAR(B11),MONTH(B11),1))</f>
        <v/>
      </c>
      <c r="H11" s="16">
        <f>IF(C11="","",IFERROR(INDEX(Cursos!$C$8:$C$47,MATCH(C11,Cursos!$B$8:$B$47,0)),"¿Curso?"))</f>
        <v/>
      </c>
    </row>
    <row r="12">
      <c r="B12" s="26" t="n">
        <v>46238</v>
      </c>
      <c r="C12" s="23" t="inlineStr">
        <is>
          <t>Inglés B2: preparación del First</t>
        </is>
      </c>
      <c r="D12" s="10" t="n">
        <v>1.5</v>
      </c>
      <c r="E12" s="23" t="inlineStr">
        <is>
          <t>Módulo 6: Listening</t>
        </is>
      </c>
      <c r="F12" s="17">
        <f>IF(B12="","",B12-WEEKDAY(B12,2)+1)</f>
        <v/>
      </c>
      <c r="G12" s="40">
        <f>IF(B12="","",DATE(YEAR(B12),MONTH(B12),1))</f>
        <v/>
      </c>
      <c r="H12" s="16">
        <f>IF(C12="","",IFERROR(INDEX(Cursos!$C$8:$C$47,MATCH(C12,Cursos!$B$8:$B$47,0)),"¿Curso?"))</f>
        <v/>
      </c>
    </row>
    <row r="13">
      <c r="B13" s="26" t="n">
        <v>46239</v>
      </c>
      <c r="C13" s="23" t="inlineStr">
        <is>
          <t>Introducción a Python</t>
        </is>
      </c>
      <c r="D13" s="10" t="n">
        <v>2</v>
      </c>
      <c r="E13" s="23" t="inlineStr">
        <is>
          <t>Módulo 1: variables y tipos</t>
        </is>
      </c>
      <c r="F13" s="17">
        <f>IF(B13="","",B13-WEEKDAY(B13,2)+1)</f>
        <v/>
      </c>
      <c r="G13" s="40">
        <f>IF(B13="","",DATE(YEAR(B13),MONTH(B13),1))</f>
        <v/>
      </c>
      <c r="H13" s="16">
        <f>IF(C13="","",IFERROR(INDEX(Cursos!$C$8:$C$47,MATCH(C13,Cursos!$B$8:$B$47,0)),"¿Curso?"))</f>
        <v/>
      </c>
    </row>
    <row r="14">
      <c r="B14" s="26" t="n">
        <v>46240</v>
      </c>
      <c r="C14" s="23" t="inlineStr">
        <is>
          <t>Oratoria y presentaciones</t>
        </is>
      </c>
      <c r="D14" s="10" t="n">
        <v>1.5</v>
      </c>
      <c r="E14" s="23" t="inlineStr">
        <is>
          <t>Módulo 5: manejo de nervios</t>
        </is>
      </c>
      <c r="F14" s="17">
        <f>IF(B14="","",B14-WEEKDAY(B14,2)+1)</f>
        <v/>
      </c>
      <c r="G14" s="40">
        <f>IF(B14="","",DATE(YEAR(B14),MONTH(B14),1))</f>
        <v/>
      </c>
      <c r="H14" s="16">
        <f>IF(C14="","",IFERROR(INDEX(Cursos!$C$8:$C$47,MATCH(C14,Cursos!$B$8:$B$47,0)),"¿Curso?"))</f>
        <v/>
      </c>
    </row>
    <row r="15">
      <c r="B15" s="26" t="n">
        <v>46245</v>
      </c>
      <c r="C15" s="23" t="inlineStr">
        <is>
          <t>Inglés B2: preparación del First</t>
        </is>
      </c>
      <c r="D15" s="10" t="n">
        <v>2</v>
      </c>
      <c r="E15" s="23" t="inlineStr">
        <is>
          <t>Módulo 6: Writing</t>
        </is>
      </c>
      <c r="F15" s="17">
        <f>IF(B15="","",B15-WEEKDAY(B15,2)+1)</f>
        <v/>
      </c>
      <c r="G15" s="40">
        <f>IF(B15="","",DATE(YEAR(B15),MONTH(B15),1))</f>
        <v/>
      </c>
      <c r="H15" s="16">
        <f>IF(C15="","",IFERROR(INDEX(Cursos!$C$8:$C$47,MATCH(C15,Cursos!$B$8:$B$47,0)),"¿Curso?"))</f>
        <v/>
      </c>
    </row>
    <row r="16">
      <c r="B16" s="26" t="n">
        <v>46246</v>
      </c>
      <c r="C16" s="23" t="inlineStr">
        <is>
          <t>Introducción a Python</t>
        </is>
      </c>
      <c r="D16" s="10" t="n">
        <v>2</v>
      </c>
      <c r="E16" s="23" t="inlineStr">
        <is>
          <t>Módulo 2: condicionales</t>
        </is>
      </c>
      <c r="F16" s="17">
        <f>IF(B16="","",B16-WEEKDAY(B16,2)+1)</f>
        <v/>
      </c>
      <c r="G16" s="40">
        <f>IF(B16="","",DATE(YEAR(B16),MONTH(B16),1))</f>
        <v/>
      </c>
      <c r="H16" s="16">
        <f>IF(C16="","",IFERROR(INDEX(Cursos!$C$8:$C$47,MATCH(C16,Cursos!$B$8:$B$47,0)),"¿Curso?"))</f>
        <v/>
      </c>
    </row>
    <row r="17">
      <c r="B17" s="26" t="n">
        <v>46247</v>
      </c>
      <c r="C17" s="23" t="inlineStr">
        <is>
          <t>Oratoria y presentaciones</t>
        </is>
      </c>
      <c r="D17" s="10" t="n">
        <v>1.5</v>
      </c>
      <c r="E17" s="23" t="inlineStr">
        <is>
          <t>Módulo 6: diapositivas</t>
        </is>
      </c>
      <c r="F17" s="17">
        <f>IF(B17="","",B17-WEEKDAY(B17,2)+1)</f>
        <v/>
      </c>
      <c r="G17" s="40">
        <f>IF(B17="","",DATE(YEAR(B17),MONTH(B17),1))</f>
        <v/>
      </c>
      <c r="H17" s="16">
        <f>IF(C17="","",IFERROR(INDEX(Cursos!$C$8:$C$47,MATCH(C17,Cursos!$B$8:$B$47,0)),"¿Curso?"))</f>
        <v/>
      </c>
    </row>
    <row r="18">
      <c r="B18" s="26" t="n">
        <v>46252</v>
      </c>
      <c r="C18" s="23" t="inlineStr">
        <is>
          <t>Gestión de proyectos ágil</t>
        </is>
      </c>
      <c r="D18" s="10" t="n">
        <v>1.5</v>
      </c>
      <c r="E18" s="23" t="inlineStr">
        <is>
          <t>Módulo 1: manifiesto ágil</t>
        </is>
      </c>
      <c r="F18" s="17">
        <f>IF(B18="","",B18-WEEKDAY(B18,2)+1)</f>
        <v/>
      </c>
      <c r="G18" s="40">
        <f>IF(B18="","",DATE(YEAR(B18),MONTH(B18),1))</f>
        <v/>
      </c>
      <c r="H18" s="16">
        <f>IF(C18="","",IFERROR(INDEX(Cursos!$C$8:$C$47,MATCH(C18,Cursos!$B$8:$B$47,0)),"¿Curso?"))</f>
        <v/>
      </c>
    </row>
    <row r="19">
      <c r="B19" s="26" t="n">
        <v>46253</v>
      </c>
      <c r="C19" s="23" t="inlineStr">
        <is>
          <t>Introducción a Python</t>
        </is>
      </c>
      <c r="D19" s="10" t="n">
        <v>1.5</v>
      </c>
      <c r="E19" s="23" t="inlineStr">
        <is>
          <t>Módulo 3: bucles</t>
        </is>
      </c>
      <c r="F19" s="17">
        <f>IF(B19="","",B19-WEEKDAY(B19,2)+1)</f>
        <v/>
      </c>
      <c r="G19" s="40">
        <f>IF(B19="","",DATE(YEAR(B19),MONTH(B19),1))</f>
        <v/>
      </c>
      <c r="H19" s="16">
        <f>IF(C19="","",IFERROR(INDEX(Cursos!$C$8:$C$47,MATCH(C19,Cursos!$B$8:$B$47,0)),"¿Curso?"))</f>
        <v/>
      </c>
    </row>
    <row r="20">
      <c r="B20" s="26" t="n">
        <v>46259</v>
      </c>
      <c r="C20" s="23" t="inlineStr">
        <is>
          <t>Inglés B2: preparación del First</t>
        </is>
      </c>
      <c r="D20" s="10" t="n">
        <v>1.5</v>
      </c>
      <c r="E20" s="23" t="inlineStr">
        <is>
          <t>Módulo 6: Speaking</t>
        </is>
      </c>
      <c r="F20" s="17">
        <f>IF(B20="","",B20-WEEKDAY(B20,2)+1)</f>
        <v/>
      </c>
      <c r="G20" s="40">
        <f>IF(B20="","",DATE(YEAR(B20),MONTH(B20),1))</f>
        <v/>
      </c>
      <c r="H20" s="16">
        <f>IF(C20="","",IFERROR(INDEX(Cursos!$C$8:$C$47,MATCH(C20,Cursos!$B$8:$B$47,0)),"¿Curso?"))</f>
        <v/>
      </c>
    </row>
    <row r="21">
      <c r="B21" s="26" t="n">
        <v>46260</v>
      </c>
      <c r="C21" s="23" t="inlineStr">
        <is>
          <t>Introducción a Python</t>
        </is>
      </c>
      <c r="D21" s="10" t="n">
        <v>2</v>
      </c>
      <c r="E21" s="23" t="inlineStr">
        <is>
          <t>Módulo 3: ejercicios de bucles</t>
        </is>
      </c>
      <c r="F21" s="17">
        <f>IF(B21="","",B21-WEEKDAY(B21,2)+1)</f>
        <v/>
      </c>
      <c r="G21" s="40">
        <f>IF(B21="","",DATE(YEAR(B21),MONTH(B21),1))</f>
        <v/>
      </c>
      <c r="H21" s="16">
        <f>IF(C21="","",IFERROR(INDEX(Cursos!$C$8:$C$47,MATCH(C21,Cursos!$B$8:$B$47,0)),"¿Curso?"))</f>
        <v/>
      </c>
    </row>
    <row r="22">
      <c r="B22" s="26" t="n">
        <v>46261</v>
      </c>
      <c r="C22" s="23" t="inlineStr">
        <is>
          <t>Gestión de proyectos ágil</t>
        </is>
      </c>
      <c r="D22" s="10" t="n">
        <v>2</v>
      </c>
      <c r="E22" s="23" t="inlineStr">
        <is>
          <t>Módulo 2: roles en Scrum</t>
        </is>
      </c>
      <c r="F22" s="17">
        <f>IF(B22="","",B22-WEEKDAY(B22,2)+1)</f>
        <v/>
      </c>
      <c r="G22" s="40">
        <f>IF(B22="","",DATE(YEAR(B22),MONTH(B22),1))</f>
        <v/>
      </c>
      <c r="H22" s="16">
        <f>IF(C22="","",IFERROR(INDEX(Cursos!$C$8:$C$47,MATCH(C22,Cursos!$B$8:$B$47,0)),"¿Curso?"))</f>
        <v/>
      </c>
    </row>
    <row r="23">
      <c r="B23" s="26" t="n">
        <v>46266</v>
      </c>
      <c r="C23" s="23" t="inlineStr">
        <is>
          <t>Inglés B2: preparación del First</t>
        </is>
      </c>
      <c r="D23" s="10" t="n">
        <v>2</v>
      </c>
      <c r="E23" s="23" t="inlineStr">
        <is>
          <t>Módulo 6: repaso y test</t>
        </is>
      </c>
      <c r="F23" s="17">
        <f>IF(B23="","",B23-WEEKDAY(B23,2)+1)</f>
        <v/>
      </c>
      <c r="G23" s="40">
        <f>IF(B23="","",DATE(YEAR(B23),MONTH(B23),1))</f>
        <v/>
      </c>
      <c r="H23" s="16">
        <f>IF(C23="","",IFERROR(INDEX(Cursos!$C$8:$C$47,MATCH(C23,Cursos!$B$8:$B$47,0)),"¿Curso?"))</f>
        <v/>
      </c>
    </row>
    <row r="24">
      <c r="B24" s="26" t="n">
        <v>46267</v>
      </c>
      <c r="C24" s="23" t="inlineStr">
        <is>
          <t>Introducción a Python</t>
        </is>
      </c>
      <c r="D24" s="10" t="n">
        <v>1.5</v>
      </c>
      <c r="E24" s="23" t="inlineStr">
        <is>
          <t>Módulo 4: funciones</t>
        </is>
      </c>
      <c r="F24" s="17">
        <f>IF(B24="","",B24-WEEKDAY(B24,2)+1)</f>
        <v/>
      </c>
      <c r="G24" s="40">
        <f>IF(B24="","",DATE(YEAR(B24),MONTH(B24),1))</f>
        <v/>
      </c>
      <c r="H24" s="16">
        <f>IF(C24="","",IFERROR(INDEX(Cursos!$C$8:$C$47,MATCH(C24,Cursos!$B$8:$B$47,0)),"¿Curso?"))</f>
        <v/>
      </c>
    </row>
    <row r="25">
      <c r="B25" s="26" t="n">
        <v>46268</v>
      </c>
      <c r="C25" s="23" t="inlineStr">
        <is>
          <t>Gestión de proyectos ágil</t>
        </is>
      </c>
      <c r="D25" s="10" t="n">
        <v>1.5</v>
      </c>
      <c r="E25" s="23" t="inlineStr">
        <is>
          <t>Módulo 3: planificación de sprints</t>
        </is>
      </c>
      <c r="F25" s="17">
        <f>IF(B25="","",B25-WEEKDAY(B25,2)+1)</f>
        <v/>
      </c>
      <c r="G25" s="40">
        <f>IF(B25="","",DATE(YEAR(B25),MONTH(B25),1))</f>
        <v/>
      </c>
      <c r="H25" s="16">
        <f>IF(C25="","",IFERROR(INDEX(Cursos!$C$8:$C$47,MATCH(C25,Cursos!$B$8:$B$47,0)),"¿Curso?"))</f>
        <v/>
      </c>
    </row>
    <row r="26">
      <c r="B26" s="26" t="n">
        <v>46273</v>
      </c>
      <c r="C26" s="23" t="inlineStr">
        <is>
          <t>Inglés B2: preparación del First</t>
        </is>
      </c>
      <c r="D26" s="10" t="n">
        <v>1.5</v>
      </c>
      <c r="E26" s="23" t="inlineStr">
        <is>
          <t>Módulo 7: Reading Part 5</t>
        </is>
      </c>
      <c r="F26" s="17">
        <f>IF(B26="","",B26-WEEKDAY(B26,2)+1)</f>
        <v/>
      </c>
      <c r="G26" s="40">
        <f>IF(B26="","",DATE(YEAR(B26),MONTH(B26),1))</f>
        <v/>
      </c>
      <c r="H26" s="16">
        <f>IF(C26="","",IFERROR(INDEX(Cursos!$C$8:$C$47,MATCH(C26,Cursos!$B$8:$B$47,0)),"¿Curso?"))</f>
        <v/>
      </c>
    </row>
    <row r="27">
      <c r="B27" s="26" t="n">
        <v>46273</v>
      </c>
      <c r="C27" s="23" t="inlineStr">
        <is>
          <t>Contabilidad financiera</t>
        </is>
      </c>
      <c r="D27" s="10" t="n">
        <v>2</v>
      </c>
      <c r="E27" s="23" t="inlineStr">
        <is>
          <t>Módulo 1: el balance</t>
        </is>
      </c>
      <c r="F27" s="17">
        <f>IF(B27="","",B27-WEEKDAY(B27,2)+1)</f>
        <v/>
      </c>
      <c r="G27" s="40">
        <f>IF(B27="","",DATE(YEAR(B27),MONTH(B27),1))</f>
        <v/>
      </c>
      <c r="H27" s="16">
        <f>IF(C27="","",IFERROR(INDEX(Cursos!$C$8:$C$47,MATCH(C27,Cursos!$B$8:$B$47,0)),"¿Curso?"))</f>
        <v/>
      </c>
    </row>
    <row r="28">
      <c r="B28" s="26" t="n">
        <v>46274</v>
      </c>
      <c r="C28" s="23" t="inlineStr">
        <is>
          <t>Introducción a Python</t>
        </is>
      </c>
      <c r="D28" s="10" t="n">
        <v>2</v>
      </c>
      <c r="E28" s="23" t="inlineStr">
        <is>
          <t>Módulo 4: listas y diccionarios</t>
        </is>
      </c>
      <c r="F28" s="17">
        <f>IF(B28="","",B28-WEEKDAY(B28,2)+1)</f>
        <v/>
      </c>
      <c r="G28" s="40">
        <f>IF(B28="","",DATE(YEAR(B28),MONTH(B28),1))</f>
        <v/>
      </c>
      <c r="H28" s="16">
        <f>IF(C28="","",IFERROR(INDEX(Cursos!$C$8:$C$47,MATCH(C28,Cursos!$B$8:$B$47,0)),"¿Curso?"))</f>
        <v/>
      </c>
    </row>
    <row r="29">
      <c r="B29" s="26" t="n">
        <v>46275</v>
      </c>
      <c r="C29" s="23" t="inlineStr">
        <is>
          <t>Gestión de proyectos ágil</t>
        </is>
      </c>
      <c r="D29" s="10" t="n">
        <v>1.5</v>
      </c>
      <c r="E29" s="23" t="inlineStr">
        <is>
          <t>Módulo 4: retrospectivas</t>
        </is>
      </c>
      <c r="F29" s="17">
        <f>IF(B29="","",B29-WEEKDAY(B29,2)+1)</f>
        <v/>
      </c>
      <c r="G29" s="40">
        <f>IF(B29="","",DATE(YEAR(B29),MONTH(B29),1))</f>
        <v/>
      </c>
      <c r="H29" s="16">
        <f>IF(C29="","",IFERROR(INDEX(Cursos!$C$8:$C$47,MATCH(C29,Cursos!$B$8:$B$47,0)),"¿Curso?"))</f>
        <v/>
      </c>
    </row>
    <row r="30">
      <c r="B30" s="26" t="n">
        <v>46275</v>
      </c>
      <c r="C30" s="23" t="inlineStr">
        <is>
          <t>Oratoria y presentaciones</t>
        </is>
      </c>
      <c r="D30" s="10" t="n">
        <v>1.5</v>
      </c>
      <c r="E30" s="23" t="inlineStr">
        <is>
          <t>Módulo 7: preguntas del público</t>
        </is>
      </c>
      <c r="F30" s="17">
        <f>IF(B30="","",B30-WEEKDAY(B30,2)+1)</f>
        <v/>
      </c>
      <c r="G30" s="40">
        <f>IF(B30="","",DATE(YEAR(B30),MONTH(B30),1))</f>
        <v/>
      </c>
      <c r="H30" s="16">
        <f>IF(C30="","",IFERROR(INDEX(Cursos!$C$8:$C$47,MATCH(C30,Cursos!$B$8:$B$47,0)),"¿Curso?"))</f>
        <v/>
      </c>
    </row>
    <row r="31">
      <c r="B31" s="26" t="n">
        <v>46277</v>
      </c>
      <c r="C31" s="23" t="inlineStr">
        <is>
          <t>Contabilidad financiera</t>
        </is>
      </c>
      <c r="D31" s="10" t="n">
        <v>2</v>
      </c>
      <c r="E31" s="23" t="inlineStr">
        <is>
          <t>Módulo 2: cuenta de resultados</t>
        </is>
      </c>
      <c r="F31" s="17">
        <f>IF(B31="","",B31-WEEKDAY(B31,2)+1)</f>
        <v/>
      </c>
      <c r="G31" s="40">
        <f>IF(B31="","",DATE(YEAR(B31),MONTH(B31),1))</f>
        <v/>
      </c>
      <c r="H31" s="16">
        <f>IF(C31="","",IFERROR(INDEX(Cursos!$C$8:$C$47,MATCH(C31,Cursos!$B$8:$B$47,0)),"¿Curso?"))</f>
        <v/>
      </c>
    </row>
    <row r="32">
      <c r="B32" s="26" t="n">
        <v>46280</v>
      </c>
      <c r="C32" s="23" t="inlineStr">
        <is>
          <t>Inglés B2: preparación del First</t>
        </is>
      </c>
      <c r="D32" s="10" t="n">
        <v>2</v>
      </c>
      <c r="E32" s="23" t="inlineStr">
        <is>
          <t>Módulo 7: Listening Part 3</t>
        </is>
      </c>
      <c r="F32" s="17">
        <f>IF(B32="","",B32-WEEKDAY(B32,2)+1)</f>
        <v/>
      </c>
      <c r="G32" s="40">
        <f>IF(B32="","",DATE(YEAR(B32),MONTH(B32),1))</f>
        <v/>
      </c>
      <c r="H32" s="16">
        <f>IF(C32="","",IFERROR(INDEX(Cursos!$C$8:$C$47,MATCH(C32,Cursos!$B$8:$B$47,0)),"¿Curso?"))</f>
        <v/>
      </c>
    </row>
    <row r="33">
      <c r="B33" s="26" t="n">
        <v>46280</v>
      </c>
      <c r="C33" s="23" t="inlineStr">
        <is>
          <t>SQL para análisis de datos</t>
        </is>
      </c>
      <c r="D33" s="10" t="n">
        <v>1</v>
      </c>
      <c r="E33" s="23" t="inlineStr">
        <is>
          <t>Módulo 1: SELECT y filtros</t>
        </is>
      </c>
      <c r="F33" s="17">
        <f>IF(B33="","",B33-WEEKDAY(B33,2)+1)</f>
        <v/>
      </c>
      <c r="G33" s="40">
        <f>IF(B33="","",DATE(YEAR(B33),MONTH(B33),1))</f>
        <v/>
      </c>
      <c r="H33" s="16">
        <f>IF(C33="","",IFERROR(INDEX(Cursos!$C$8:$C$47,MATCH(C33,Cursos!$B$8:$B$47,0)),"¿Curso?"))</f>
        <v/>
      </c>
    </row>
    <row r="34">
      <c r="B34" s="26" t="n">
        <v>46281</v>
      </c>
      <c r="C34" s="23" t="inlineStr">
        <is>
          <t>Introducción a Python</t>
        </is>
      </c>
      <c r="D34" s="10" t="n">
        <v>1.5</v>
      </c>
      <c r="E34" s="23" t="inlineStr">
        <is>
          <t>Módulo 5: ficheros</t>
        </is>
      </c>
      <c r="F34" s="17">
        <f>IF(B34="","",B34-WEEKDAY(B34,2)+1)</f>
        <v/>
      </c>
      <c r="G34" s="40">
        <f>IF(B34="","",DATE(YEAR(B34),MONTH(B34),1))</f>
        <v/>
      </c>
      <c r="H34" s="16">
        <f>IF(C34="","",IFERROR(INDEX(Cursos!$C$8:$C$47,MATCH(C34,Cursos!$B$8:$B$47,0)),"¿Curso?"))</f>
        <v/>
      </c>
    </row>
    <row r="35">
      <c r="B35" s="26" t="n">
        <v>46282</v>
      </c>
      <c r="C35" s="23" t="inlineStr">
        <is>
          <t>Oratoria y presentaciones</t>
        </is>
      </c>
      <c r="D35" s="10" t="n">
        <v>1</v>
      </c>
      <c r="E35" s="23" t="inlineStr">
        <is>
          <t>Módulo 8: práctica grabada</t>
        </is>
      </c>
      <c r="F35" s="17">
        <f>IF(B35="","",B35-WEEKDAY(B35,2)+1)</f>
        <v/>
      </c>
      <c r="G35" s="40">
        <f>IF(B35="","",DATE(YEAR(B35),MONTH(B35),1))</f>
        <v/>
      </c>
      <c r="H35" s="16">
        <f>IF(C35="","",IFERROR(INDEX(Cursos!$C$8:$C$47,MATCH(C35,Cursos!$B$8:$B$47,0)),"¿Curso?"))</f>
        <v/>
      </c>
    </row>
    <row r="36">
      <c r="B36" s="26" t="n">
        <v>46284</v>
      </c>
      <c r="C36" s="23" t="inlineStr">
        <is>
          <t>Contabilidad financiera</t>
        </is>
      </c>
      <c r="D36" s="10" t="n">
        <v>2.5</v>
      </c>
      <c r="E36" s="23" t="inlineStr">
        <is>
          <t>Módulo 3: flujo de efectivo</t>
        </is>
      </c>
      <c r="F36" s="17">
        <f>IF(B36="","",B36-WEEKDAY(B36,2)+1)</f>
        <v/>
      </c>
      <c r="G36" s="40">
        <f>IF(B36="","",DATE(YEAR(B36),MONTH(B36),1))</f>
        <v/>
      </c>
      <c r="H36" s="16">
        <f>IF(C36="","",IFERROR(INDEX(Cursos!$C$8:$C$47,MATCH(C36,Cursos!$B$8:$B$47,0)),"¿Curso?"))</f>
        <v/>
      </c>
    </row>
    <row r="37">
      <c r="B37" s="26" t="n">
        <v>46287</v>
      </c>
      <c r="C37" s="23" t="inlineStr">
        <is>
          <t>Inglés B2: preparación del First</t>
        </is>
      </c>
      <c r="D37" s="10" t="n">
        <v>1.5</v>
      </c>
      <c r="E37" s="23" t="inlineStr">
        <is>
          <t>Módulo 7: Writing Part 2</t>
        </is>
      </c>
      <c r="F37" s="17">
        <f>IF(B37="","",B37-WEEKDAY(B37,2)+1)</f>
        <v/>
      </c>
      <c r="G37" s="40">
        <f>IF(B37="","",DATE(YEAR(B37),MONTH(B37),1))</f>
        <v/>
      </c>
      <c r="H37" s="16">
        <f>IF(C37="","",IFERROR(INDEX(Cursos!$C$8:$C$47,MATCH(C37,Cursos!$B$8:$B$47,0)),"¿Curso?"))</f>
        <v/>
      </c>
    </row>
    <row r="38">
      <c r="B38" s="26" t="n">
        <v>46288</v>
      </c>
      <c r="C38" s="23" t="inlineStr">
        <is>
          <t>Introducción a Python</t>
        </is>
      </c>
      <c r="D38" s="10" t="n">
        <v>2</v>
      </c>
      <c r="E38" s="23" t="inlineStr">
        <is>
          <t>Módulo 5: ejercicios con ficheros</t>
        </is>
      </c>
      <c r="F38" s="17">
        <f>IF(B38="","",B38-WEEKDAY(B38,2)+1)</f>
        <v/>
      </c>
      <c r="G38" s="40">
        <f>IF(B38="","",DATE(YEAR(B38),MONTH(B38),1))</f>
        <v/>
      </c>
      <c r="H38" s="16">
        <f>IF(C38="","",IFERROR(INDEX(Cursos!$C$8:$C$47,MATCH(C38,Cursos!$B$8:$B$47,0)),"¿Curso?"))</f>
        <v/>
      </c>
    </row>
    <row r="39">
      <c r="B39" s="26" t="n">
        <v>46289</v>
      </c>
      <c r="C39" s="23" t="inlineStr">
        <is>
          <t>Gestión de proyectos ágil</t>
        </is>
      </c>
      <c r="D39" s="10" t="n">
        <v>1.5</v>
      </c>
      <c r="E39" s="23" t="inlineStr">
        <is>
          <t>Módulo 5: Kanban</t>
        </is>
      </c>
      <c r="F39" s="17">
        <f>IF(B39="","",B39-WEEKDAY(B39,2)+1)</f>
        <v/>
      </c>
      <c r="G39" s="40">
        <f>IF(B39="","",DATE(YEAR(B39),MONTH(B39),1))</f>
        <v/>
      </c>
      <c r="H39" s="16">
        <f>IF(C39="","",IFERROR(INDEX(Cursos!$C$8:$C$47,MATCH(C39,Cursos!$B$8:$B$47,0)),"¿Curso?"))</f>
        <v/>
      </c>
    </row>
    <row r="40">
      <c r="B40" s="26" t="n">
        <v>46291</v>
      </c>
      <c r="C40" s="23" t="inlineStr">
        <is>
          <t>Contabilidad financiera</t>
        </is>
      </c>
      <c r="D40" s="10" t="n">
        <v>2</v>
      </c>
      <c r="E40" s="23" t="inlineStr">
        <is>
          <t>Módulo 3: repaso y test</t>
        </is>
      </c>
      <c r="F40" s="17">
        <f>IF(B40="","",B40-WEEKDAY(B40,2)+1)</f>
        <v/>
      </c>
      <c r="G40" s="40">
        <f>IF(B40="","",DATE(YEAR(B40),MONTH(B40),1))</f>
        <v/>
      </c>
      <c r="H40" s="16">
        <f>IF(C40="","",IFERROR(INDEX(Cursos!$C$8:$C$47,MATCH(C40,Cursos!$B$8:$B$47,0)),"¿Curso?"))</f>
        <v/>
      </c>
    </row>
    <row r="41">
      <c r="B41" s="26" t="n">
        <v>46294</v>
      </c>
      <c r="C41" s="23" t="inlineStr">
        <is>
          <t>Inglés B2: preparación del First</t>
        </is>
      </c>
      <c r="D41" s="10" t="n">
        <v>2</v>
      </c>
      <c r="E41" s="23" t="inlineStr">
        <is>
          <t>Módulo 7: Speaking Part 3</t>
        </is>
      </c>
      <c r="F41" s="17">
        <f>IF(B41="","",B41-WEEKDAY(B41,2)+1)</f>
        <v/>
      </c>
      <c r="G41" s="40">
        <f>IF(B41="","",DATE(YEAR(B41),MONTH(B41),1))</f>
        <v/>
      </c>
      <c r="H41" s="16">
        <f>IF(C41="","",IFERROR(INDEX(Cursos!$C$8:$C$47,MATCH(C41,Cursos!$B$8:$B$47,0)),"¿Curso?"))</f>
        <v/>
      </c>
    </row>
    <row r="42">
      <c r="B42" s="26" t="n">
        <v>46295</v>
      </c>
      <c r="C42" s="23" t="inlineStr">
        <is>
          <t>SQL para análisis de datos</t>
        </is>
      </c>
      <c r="D42" s="10" t="n">
        <v>2</v>
      </c>
      <c r="E42" s="23" t="inlineStr">
        <is>
          <t>Módulo 2: JOIN</t>
        </is>
      </c>
      <c r="F42" s="17">
        <f>IF(B42="","",B42-WEEKDAY(B42,2)+1)</f>
        <v/>
      </c>
      <c r="G42" s="40">
        <f>IF(B42="","",DATE(YEAR(B42),MONTH(B42),1))</f>
        <v/>
      </c>
      <c r="H42" s="16">
        <f>IF(C42="","",IFERROR(INDEX(Cursos!$C$8:$C$47,MATCH(C42,Cursos!$B$8:$B$47,0)),"¿Curso?"))</f>
        <v/>
      </c>
    </row>
    <row r="43">
      <c r="B43" s="26" t="n">
        <v>46296</v>
      </c>
      <c r="C43" s="23" t="inlineStr">
        <is>
          <t>Contabilidad financiera</t>
        </is>
      </c>
      <c r="D43" s="10" t="n">
        <v>1.5</v>
      </c>
      <c r="E43" s="23" t="inlineStr">
        <is>
          <t>Módulo 4: amortizaciones</t>
        </is>
      </c>
      <c r="F43" s="17">
        <f>IF(B43="","",B43-WEEKDAY(B43,2)+1)</f>
        <v/>
      </c>
      <c r="G43" s="40">
        <f>IF(B43="","",DATE(YEAR(B43),MONTH(B43),1))</f>
        <v/>
      </c>
      <c r="H43" s="16">
        <f>IF(C43="","",IFERROR(INDEX(Cursos!$C$8:$C$47,MATCH(C43,Cursos!$B$8:$B$47,0)),"¿Curso?"))</f>
        <v/>
      </c>
    </row>
    <row r="44">
      <c r="B44" s="26" t="n"/>
      <c r="C44" s="23" t="n"/>
      <c r="D44" s="10" t="n"/>
      <c r="E44" s="23" t="n"/>
      <c r="F44" s="17">
        <f>IF(B44="","",B44-WEEKDAY(B44,2)+1)</f>
        <v/>
      </c>
      <c r="G44" s="40">
        <f>IF(B44="","",DATE(YEAR(B44),MONTH(B44),1))</f>
        <v/>
      </c>
      <c r="H44" s="16">
        <f>IF(C44="","",IFERROR(INDEX(Cursos!$C$8:$C$47,MATCH(C44,Cursos!$B$8:$B$47,0)),"¿Curso?"))</f>
        <v/>
      </c>
    </row>
    <row r="45">
      <c r="B45" s="26" t="n"/>
      <c r="C45" s="23" t="n"/>
      <c r="D45" s="10" t="n"/>
      <c r="E45" s="23" t="n"/>
      <c r="F45" s="17">
        <f>IF(B45="","",B45-WEEKDAY(B45,2)+1)</f>
        <v/>
      </c>
      <c r="G45" s="40">
        <f>IF(B45="","",DATE(YEAR(B45),MONTH(B45),1))</f>
        <v/>
      </c>
      <c r="H45" s="16">
        <f>IF(C45="","",IFERROR(INDEX(Cursos!$C$8:$C$47,MATCH(C45,Cursos!$B$8:$B$47,0)),"¿Curso?"))</f>
        <v/>
      </c>
    </row>
    <row r="46">
      <c r="B46" s="26" t="n"/>
      <c r="C46" s="23" t="n"/>
      <c r="D46" s="10" t="n"/>
      <c r="E46" s="23" t="n"/>
      <c r="F46" s="17">
        <f>IF(B46="","",B46-WEEKDAY(B46,2)+1)</f>
        <v/>
      </c>
      <c r="G46" s="40">
        <f>IF(B46="","",DATE(YEAR(B46),MONTH(B46),1))</f>
        <v/>
      </c>
      <c r="H46" s="16">
        <f>IF(C46="","",IFERROR(INDEX(Cursos!$C$8:$C$47,MATCH(C46,Cursos!$B$8:$B$47,0)),"¿Curso?"))</f>
        <v/>
      </c>
    </row>
    <row r="47">
      <c r="B47" s="26" t="n"/>
      <c r="C47" s="23" t="n"/>
      <c r="D47" s="10" t="n"/>
      <c r="E47" s="23" t="n"/>
      <c r="F47" s="17">
        <f>IF(B47="","",B47-WEEKDAY(B47,2)+1)</f>
        <v/>
      </c>
      <c r="G47" s="40">
        <f>IF(B47="","",DATE(YEAR(B47),MONTH(B47),1))</f>
        <v/>
      </c>
      <c r="H47" s="16">
        <f>IF(C47="","",IFERROR(INDEX(Cursos!$C$8:$C$47,MATCH(C47,Cursos!$B$8:$B$47,0)),"¿Curso?"))</f>
        <v/>
      </c>
    </row>
    <row r="48">
      <c r="B48" s="26" t="n"/>
      <c r="C48" s="23" t="n"/>
      <c r="D48" s="10" t="n"/>
      <c r="E48" s="23" t="n"/>
      <c r="F48" s="17">
        <f>IF(B48="","",B48-WEEKDAY(B48,2)+1)</f>
        <v/>
      </c>
      <c r="G48" s="40">
        <f>IF(B48="","",DATE(YEAR(B48),MONTH(B48),1))</f>
        <v/>
      </c>
      <c r="H48" s="16">
        <f>IF(C48="","",IFERROR(INDEX(Cursos!$C$8:$C$47,MATCH(C48,Cursos!$B$8:$B$47,0)),"¿Curso?"))</f>
        <v/>
      </c>
    </row>
    <row r="49">
      <c r="B49" s="26" t="n"/>
      <c r="C49" s="23" t="n"/>
      <c r="D49" s="10" t="n"/>
      <c r="E49" s="23" t="n"/>
      <c r="F49" s="17">
        <f>IF(B49="","",B49-WEEKDAY(B49,2)+1)</f>
        <v/>
      </c>
      <c r="G49" s="40">
        <f>IF(B49="","",DATE(YEAR(B49),MONTH(B49),1))</f>
        <v/>
      </c>
      <c r="H49" s="16">
        <f>IF(C49="","",IFERROR(INDEX(Cursos!$C$8:$C$47,MATCH(C49,Cursos!$B$8:$B$47,0)),"¿Curso?"))</f>
        <v/>
      </c>
    </row>
    <row r="50">
      <c r="B50" s="26" t="n"/>
      <c r="C50" s="23" t="n"/>
      <c r="D50" s="10" t="n"/>
      <c r="E50" s="23" t="n"/>
      <c r="F50" s="17">
        <f>IF(B50="","",B50-WEEKDAY(B50,2)+1)</f>
        <v/>
      </c>
      <c r="G50" s="40">
        <f>IF(B50="","",DATE(YEAR(B50),MONTH(B50),1))</f>
        <v/>
      </c>
      <c r="H50" s="16">
        <f>IF(C50="","",IFERROR(INDEX(Cursos!$C$8:$C$47,MATCH(C50,Cursos!$B$8:$B$47,0)),"¿Curso?"))</f>
        <v/>
      </c>
    </row>
    <row r="51">
      <c r="B51" s="26" t="n"/>
      <c r="C51" s="23" t="n"/>
      <c r="D51" s="10" t="n"/>
      <c r="E51" s="23" t="n"/>
      <c r="F51" s="17">
        <f>IF(B51="","",B51-WEEKDAY(B51,2)+1)</f>
        <v/>
      </c>
      <c r="G51" s="40">
        <f>IF(B51="","",DATE(YEAR(B51),MONTH(B51),1))</f>
        <v/>
      </c>
      <c r="H51" s="16">
        <f>IF(C51="","",IFERROR(INDEX(Cursos!$C$8:$C$47,MATCH(C51,Cursos!$B$8:$B$47,0)),"¿Curso?"))</f>
        <v/>
      </c>
    </row>
    <row r="52">
      <c r="B52" s="26" t="n"/>
      <c r="C52" s="23" t="n"/>
      <c r="D52" s="10" t="n"/>
      <c r="E52" s="23" t="n"/>
      <c r="F52" s="17">
        <f>IF(B52="","",B52-WEEKDAY(B52,2)+1)</f>
        <v/>
      </c>
      <c r="G52" s="40">
        <f>IF(B52="","",DATE(YEAR(B52),MONTH(B52),1))</f>
        <v/>
      </c>
      <c r="H52" s="16">
        <f>IF(C52="","",IFERROR(INDEX(Cursos!$C$8:$C$47,MATCH(C52,Cursos!$B$8:$B$47,0)),"¿Curso?"))</f>
        <v/>
      </c>
    </row>
    <row r="53">
      <c r="B53" s="26" t="n"/>
      <c r="C53" s="23" t="n"/>
      <c r="D53" s="10" t="n"/>
      <c r="E53" s="23" t="n"/>
      <c r="F53" s="17">
        <f>IF(B53="","",B53-WEEKDAY(B53,2)+1)</f>
        <v/>
      </c>
      <c r="G53" s="40">
        <f>IF(B53="","",DATE(YEAR(B53),MONTH(B53),1))</f>
        <v/>
      </c>
      <c r="H53" s="16">
        <f>IF(C53="","",IFERROR(INDEX(Cursos!$C$8:$C$47,MATCH(C53,Cursos!$B$8:$B$47,0)),"¿Curso?"))</f>
        <v/>
      </c>
    </row>
    <row r="54">
      <c r="B54" s="26" t="n"/>
      <c r="C54" s="23" t="n"/>
      <c r="D54" s="10" t="n"/>
      <c r="E54" s="23" t="n"/>
      <c r="F54" s="17">
        <f>IF(B54="","",B54-WEEKDAY(B54,2)+1)</f>
        <v/>
      </c>
      <c r="G54" s="40">
        <f>IF(B54="","",DATE(YEAR(B54),MONTH(B54),1))</f>
        <v/>
      </c>
      <c r="H54" s="16">
        <f>IF(C54="","",IFERROR(INDEX(Cursos!$C$8:$C$47,MATCH(C54,Cursos!$B$8:$B$47,0)),"¿Curso?"))</f>
        <v/>
      </c>
    </row>
    <row r="55">
      <c r="B55" s="26" t="n"/>
      <c r="C55" s="23" t="n"/>
      <c r="D55" s="10" t="n"/>
      <c r="E55" s="23" t="n"/>
      <c r="F55" s="17">
        <f>IF(B55="","",B55-WEEKDAY(B55,2)+1)</f>
        <v/>
      </c>
      <c r="G55" s="40">
        <f>IF(B55="","",DATE(YEAR(B55),MONTH(B55),1))</f>
        <v/>
      </c>
      <c r="H55" s="16">
        <f>IF(C55="","",IFERROR(INDEX(Cursos!$C$8:$C$47,MATCH(C55,Cursos!$B$8:$B$47,0)),"¿Curso?"))</f>
        <v/>
      </c>
    </row>
    <row r="56">
      <c r="B56" s="26" t="n"/>
      <c r="C56" s="23" t="n"/>
      <c r="D56" s="10" t="n"/>
      <c r="E56" s="23" t="n"/>
      <c r="F56" s="17">
        <f>IF(B56="","",B56-WEEKDAY(B56,2)+1)</f>
        <v/>
      </c>
      <c r="G56" s="40">
        <f>IF(B56="","",DATE(YEAR(B56),MONTH(B56),1))</f>
        <v/>
      </c>
      <c r="H56" s="16">
        <f>IF(C56="","",IFERROR(INDEX(Cursos!$C$8:$C$47,MATCH(C56,Cursos!$B$8:$B$47,0)),"¿Curso?"))</f>
        <v/>
      </c>
    </row>
    <row r="57">
      <c r="B57" s="26" t="n"/>
      <c r="C57" s="23" t="n"/>
      <c r="D57" s="10" t="n"/>
      <c r="E57" s="23" t="n"/>
      <c r="F57" s="17">
        <f>IF(B57="","",B57-WEEKDAY(B57,2)+1)</f>
        <v/>
      </c>
      <c r="G57" s="40">
        <f>IF(B57="","",DATE(YEAR(B57),MONTH(B57),1))</f>
        <v/>
      </c>
      <c r="H57" s="16">
        <f>IF(C57="","",IFERROR(INDEX(Cursos!$C$8:$C$47,MATCH(C57,Cursos!$B$8:$B$47,0)),"¿Curso?"))</f>
        <v/>
      </c>
    </row>
    <row r="58">
      <c r="B58" s="26" t="n"/>
      <c r="C58" s="23" t="n"/>
      <c r="D58" s="10" t="n"/>
      <c r="E58" s="23" t="n"/>
      <c r="F58" s="17">
        <f>IF(B58="","",B58-WEEKDAY(B58,2)+1)</f>
        <v/>
      </c>
      <c r="G58" s="40">
        <f>IF(B58="","",DATE(YEAR(B58),MONTH(B58),1))</f>
        <v/>
      </c>
      <c r="H58" s="16">
        <f>IF(C58="","",IFERROR(INDEX(Cursos!$C$8:$C$47,MATCH(C58,Cursos!$B$8:$B$47,0)),"¿Curso?"))</f>
        <v/>
      </c>
    </row>
    <row r="59">
      <c r="B59" s="26" t="n"/>
      <c r="C59" s="23" t="n"/>
      <c r="D59" s="10" t="n"/>
      <c r="E59" s="23" t="n"/>
      <c r="F59" s="17">
        <f>IF(B59="","",B59-WEEKDAY(B59,2)+1)</f>
        <v/>
      </c>
      <c r="G59" s="40">
        <f>IF(B59="","",DATE(YEAR(B59),MONTH(B59),1))</f>
        <v/>
      </c>
      <c r="H59" s="16">
        <f>IF(C59="","",IFERROR(INDEX(Cursos!$C$8:$C$47,MATCH(C59,Cursos!$B$8:$B$47,0)),"¿Curso?"))</f>
        <v/>
      </c>
    </row>
    <row r="60">
      <c r="B60" s="26" t="n"/>
      <c r="C60" s="23" t="n"/>
      <c r="D60" s="10" t="n"/>
      <c r="E60" s="23" t="n"/>
      <c r="F60" s="17">
        <f>IF(B60="","",B60-WEEKDAY(B60,2)+1)</f>
        <v/>
      </c>
      <c r="G60" s="40">
        <f>IF(B60="","",DATE(YEAR(B60),MONTH(B60),1))</f>
        <v/>
      </c>
      <c r="H60" s="16">
        <f>IF(C60="","",IFERROR(INDEX(Cursos!$C$8:$C$47,MATCH(C60,Cursos!$B$8:$B$47,0)),"¿Curso?"))</f>
        <v/>
      </c>
    </row>
    <row r="61">
      <c r="B61" s="26" t="n"/>
      <c r="C61" s="23" t="n"/>
      <c r="D61" s="10" t="n"/>
      <c r="E61" s="23" t="n"/>
      <c r="F61" s="17">
        <f>IF(B61="","",B61-WEEKDAY(B61,2)+1)</f>
        <v/>
      </c>
      <c r="G61" s="40">
        <f>IF(B61="","",DATE(YEAR(B61),MONTH(B61),1))</f>
        <v/>
      </c>
      <c r="H61" s="16">
        <f>IF(C61="","",IFERROR(INDEX(Cursos!$C$8:$C$47,MATCH(C61,Cursos!$B$8:$B$47,0)),"¿Curso?"))</f>
        <v/>
      </c>
    </row>
    <row r="62">
      <c r="B62" s="26" t="n"/>
      <c r="C62" s="23" t="n"/>
      <c r="D62" s="10" t="n"/>
      <c r="E62" s="23" t="n"/>
      <c r="F62" s="17">
        <f>IF(B62="","",B62-WEEKDAY(B62,2)+1)</f>
        <v/>
      </c>
      <c r="G62" s="40">
        <f>IF(B62="","",DATE(YEAR(B62),MONTH(B62),1))</f>
        <v/>
      </c>
      <c r="H62" s="16">
        <f>IF(C62="","",IFERROR(INDEX(Cursos!$C$8:$C$47,MATCH(C62,Cursos!$B$8:$B$47,0)),"¿Curso?"))</f>
        <v/>
      </c>
    </row>
    <row r="63">
      <c r="B63" s="26" t="n"/>
      <c r="C63" s="23" t="n"/>
      <c r="D63" s="10" t="n"/>
      <c r="E63" s="23" t="n"/>
      <c r="F63" s="17">
        <f>IF(B63="","",B63-WEEKDAY(B63,2)+1)</f>
        <v/>
      </c>
      <c r="G63" s="40">
        <f>IF(B63="","",DATE(YEAR(B63),MONTH(B63),1))</f>
        <v/>
      </c>
      <c r="H63" s="16">
        <f>IF(C63="","",IFERROR(INDEX(Cursos!$C$8:$C$47,MATCH(C63,Cursos!$B$8:$B$47,0)),"¿Curso?"))</f>
        <v/>
      </c>
    </row>
    <row r="64">
      <c r="B64" s="26" t="n"/>
      <c r="C64" s="23" t="n"/>
      <c r="D64" s="10" t="n"/>
      <c r="E64" s="23" t="n"/>
      <c r="F64" s="17">
        <f>IF(B64="","",B64-WEEKDAY(B64,2)+1)</f>
        <v/>
      </c>
      <c r="G64" s="40">
        <f>IF(B64="","",DATE(YEAR(B64),MONTH(B64),1))</f>
        <v/>
      </c>
      <c r="H64" s="16">
        <f>IF(C64="","",IFERROR(INDEX(Cursos!$C$8:$C$47,MATCH(C64,Cursos!$B$8:$B$47,0)),"¿Curso?"))</f>
        <v/>
      </c>
    </row>
    <row r="65">
      <c r="B65" s="26" t="n"/>
      <c r="C65" s="23" t="n"/>
      <c r="D65" s="10" t="n"/>
      <c r="E65" s="23" t="n"/>
      <c r="F65" s="17">
        <f>IF(B65="","",B65-WEEKDAY(B65,2)+1)</f>
        <v/>
      </c>
      <c r="G65" s="40">
        <f>IF(B65="","",DATE(YEAR(B65),MONTH(B65),1))</f>
        <v/>
      </c>
      <c r="H65" s="16">
        <f>IF(C65="","",IFERROR(INDEX(Cursos!$C$8:$C$47,MATCH(C65,Cursos!$B$8:$B$47,0)),"¿Curso?"))</f>
        <v/>
      </c>
    </row>
    <row r="66">
      <c r="B66" s="26" t="n"/>
      <c r="C66" s="23" t="n"/>
      <c r="D66" s="10" t="n"/>
      <c r="E66" s="23" t="n"/>
      <c r="F66" s="17">
        <f>IF(B66="","",B66-WEEKDAY(B66,2)+1)</f>
        <v/>
      </c>
      <c r="G66" s="40">
        <f>IF(B66="","",DATE(YEAR(B66),MONTH(B66),1))</f>
        <v/>
      </c>
      <c r="H66" s="16">
        <f>IF(C66="","",IFERROR(INDEX(Cursos!$C$8:$C$47,MATCH(C66,Cursos!$B$8:$B$47,0)),"¿Curso?"))</f>
        <v/>
      </c>
    </row>
    <row r="67">
      <c r="B67" s="26" t="n"/>
      <c r="C67" s="23" t="n"/>
      <c r="D67" s="10" t="n"/>
      <c r="E67" s="23" t="n"/>
      <c r="F67" s="17">
        <f>IF(B67="","",B67-WEEKDAY(B67,2)+1)</f>
        <v/>
      </c>
      <c r="G67" s="40">
        <f>IF(B67="","",DATE(YEAR(B67),MONTH(B67),1))</f>
        <v/>
      </c>
      <c r="H67" s="16">
        <f>IF(C67="","",IFERROR(INDEX(Cursos!$C$8:$C$47,MATCH(C67,Cursos!$B$8:$B$47,0)),"¿Curso?"))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H8:H67">
    <cfRule type="expression" priority="1" dxfId="0">
      <formula>$H8="¿Curso?"</formula>
    </cfRule>
  </conditionalFormatting>
  <conditionalFormatting sqref="B8:H67">
    <cfRule type="expression" priority="2" dxfId="3">
      <formula>AND($B8&lt;&gt;"",$F8=Cursos!$C$5-WEEKDAY(Cursos!$C$5,2)+1)</formula>
    </cfRule>
  </conditionalFormatting>
  <conditionalFormatting sqref="D8:D67">
    <cfRule type="dataBar" priority="3">
      <dataBar>
        <cfvo type="num" val="0"/>
        <cfvo type="max"/>
        <color rgb="0034D399"/>
      </dataBar>
    </cfRule>
  </conditionalFormatting>
  <dataValidations count="2">
    <dataValidation sqref="C8:C67" showDropDown="0" showInputMessage="0" showErrorMessage="0" allowBlank="1" type="list">
      <formula1>=Cursos!$B$8:$B$47</formula1>
    </dataValidation>
    <dataValidation sqref="D8:D67" showDropDown="0" showInputMessage="0" showErrorMessage="1" allowBlank="1" errorTitle="Horas" error="Escribe las horas de la sesión (entre 0 y 24)." type="decimal" operator="between">
      <formula1>0</formula1>
      <formula2>24</formula2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36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5" customWidth="1" min="5" max="5"/>
    <col width="14" customWidth="1" min="6" max="6"/>
    <col width="14" customWidth="1" min="7" max="7"/>
    <col width="13" customWidth="1" min="8" max="8"/>
    <col width="13" customWidth="1" min="9" max="9"/>
  </cols>
  <sheetData>
    <row r="2" ht="34" customHeight="1">
      <c r="B2" s="1" t="inlineStr">
        <is>
          <t>Horas por semana y gasto por plataforma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Constancia semanal frente a tu objetivo y reparto de horas y dinero entre plataformas.</t>
        </is>
      </c>
    </row>
    <row r="5">
      <c r="B5" s="37" t="inlineStr">
        <is>
          <t>Empezar en la semana de:</t>
        </is>
      </c>
      <c r="D5" s="26" t="n"/>
      <c r="E5" s="12" t="inlineStr">
        <is>
          <t>(vacío = últimas 12 semanas)</t>
        </is>
      </c>
      <c r="G5" s="9" t="inlineStr">
        <is>
          <t>Primer lunes:</t>
        </is>
      </c>
      <c r="H5" s="17">
        <f>IF(D5="",Cursos!C5-WEEKDAY(Cursos!C5,2)+1-77,D5-WEEKDAY(D5,2)+1)</f>
        <v/>
      </c>
    </row>
    <row r="7" ht="32" customHeight="1">
      <c r="B7" s="14" t="inlineStr">
        <is>
          <t>Semana</t>
        </is>
      </c>
      <c r="C7" s="14" t="inlineStr">
        <is>
          <t>Lunes</t>
        </is>
      </c>
      <c r="D7" s="14" t="inlineStr">
        <is>
          <t>Horas</t>
        </is>
      </c>
      <c r="E7" s="14" t="inlineStr">
        <is>
          <t>Objetivo (h)</t>
        </is>
      </c>
      <c r="F7" s="14" t="inlineStr">
        <is>
          <t>Diferencia</t>
        </is>
      </c>
      <c r="G7" s="14" t="inlineStr">
        <is>
          <t>Resultado</t>
        </is>
      </c>
      <c r="H7" s="14" t="inlineStr">
        <is>
          <t>Sesiones</t>
        </is>
      </c>
      <c r="I7" s="14" t="inlineStr">
        <is>
          <t>Horas acumuladas</t>
        </is>
      </c>
    </row>
    <row r="8">
      <c r="B8" s="29">
        <f>ROW()-7</f>
        <v/>
      </c>
      <c r="C8" s="17">
        <f>$H$5+7*(B8-1)</f>
        <v/>
      </c>
      <c r="D8" s="38">
        <f>SUMIFS(Sesiones!$D$8:$D$67,Sesiones!$F$8:$F$67,C8)</f>
        <v/>
      </c>
      <c r="E8" s="19">
        <f>Panel!$C$11</f>
        <v/>
      </c>
      <c r="F8" s="41">
        <f>D8-E8</f>
        <v/>
      </c>
      <c r="G8" s="16">
        <f>IF(D8&gt;=E8,"Cumplido","Por debajo")</f>
        <v/>
      </c>
      <c r="H8" s="29">
        <f>COUNTIFS(Sesiones!$F$8:$F$67,C8)</f>
        <v/>
      </c>
      <c r="I8" s="19">
        <f>SUM($D$8:D8)</f>
        <v/>
      </c>
    </row>
    <row r="9">
      <c r="B9" s="29">
        <f>ROW()-7</f>
        <v/>
      </c>
      <c r="C9" s="17">
        <f>$H$5+7*(B9-1)</f>
        <v/>
      </c>
      <c r="D9" s="38">
        <f>SUMIFS(Sesiones!$D$8:$D$67,Sesiones!$F$8:$F$67,C9)</f>
        <v/>
      </c>
      <c r="E9" s="19">
        <f>Panel!$C$11</f>
        <v/>
      </c>
      <c r="F9" s="41">
        <f>D9-E9</f>
        <v/>
      </c>
      <c r="G9" s="16">
        <f>IF(D9&gt;=E9,"Cumplido","Por debajo")</f>
        <v/>
      </c>
      <c r="H9" s="29">
        <f>COUNTIFS(Sesiones!$F$8:$F$67,C9)</f>
        <v/>
      </c>
      <c r="I9" s="19">
        <f>SUM($D$8:D9)</f>
        <v/>
      </c>
    </row>
    <row r="10">
      <c r="B10" s="29">
        <f>ROW()-7</f>
        <v/>
      </c>
      <c r="C10" s="17">
        <f>$H$5+7*(B10-1)</f>
        <v/>
      </c>
      <c r="D10" s="38">
        <f>SUMIFS(Sesiones!$D$8:$D$67,Sesiones!$F$8:$F$67,C10)</f>
        <v/>
      </c>
      <c r="E10" s="19">
        <f>Panel!$C$11</f>
        <v/>
      </c>
      <c r="F10" s="41">
        <f>D10-E10</f>
        <v/>
      </c>
      <c r="G10" s="16">
        <f>IF(D10&gt;=E10,"Cumplido","Por debajo")</f>
        <v/>
      </c>
      <c r="H10" s="29">
        <f>COUNTIFS(Sesiones!$F$8:$F$67,C10)</f>
        <v/>
      </c>
      <c r="I10" s="19">
        <f>SUM($D$8:D10)</f>
        <v/>
      </c>
    </row>
    <row r="11">
      <c r="B11" s="29">
        <f>ROW()-7</f>
        <v/>
      </c>
      <c r="C11" s="17">
        <f>$H$5+7*(B11-1)</f>
        <v/>
      </c>
      <c r="D11" s="38">
        <f>SUMIFS(Sesiones!$D$8:$D$67,Sesiones!$F$8:$F$67,C11)</f>
        <v/>
      </c>
      <c r="E11" s="19">
        <f>Panel!$C$11</f>
        <v/>
      </c>
      <c r="F11" s="41">
        <f>D11-E11</f>
        <v/>
      </c>
      <c r="G11" s="16">
        <f>IF(D11&gt;=E11,"Cumplido","Por debajo")</f>
        <v/>
      </c>
      <c r="H11" s="29">
        <f>COUNTIFS(Sesiones!$F$8:$F$67,C11)</f>
        <v/>
      </c>
      <c r="I11" s="19">
        <f>SUM($D$8:D11)</f>
        <v/>
      </c>
    </row>
    <row r="12">
      <c r="B12" s="29">
        <f>ROW()-7</f>
        <v/>
      </c>
      <c r="C12" s="17">
        <f>$H$5+7*(B12-1)</f>
        <v/>
      </c>
      <c r="D12" s="38">
        <f>SUMIFS(Sesiones!$D$8:$D$67,Sesiones!$F$8:$F$67,C12)</f>
        <v/>
      </c>
      <c r="E12" s="19">
        <f>Panel!$C$11</f>
        <v/>
      </c>
      <c r="F12" s="41">
        <f>D12-E12</f>
        <v/>
      </c>
      <c r="G12" s="16">
        <f>IF(D12&gt;=E12,"Cumplido","Por debajo")</f>
        <v/>
      </c>
      <c r="H12" s="29">
        <f>COUNTIFS(Sesiones!$F$8:$F$67,C12)</f>
        <v/>
      </c>
      <c r="I12" s="19">
        <f>SUM($D$8:D12)</f>
        <v/>
      </c>
    </row>
    <row r="13">
      <c r="B13" s="29">
        <f>ROW()-7</f>
        <v/>
      </c>
      <c r="C13" s="17">
        <f>$H$5+7*(B13-1)</f>
        <v/>
      </c>
      <c r="D13" s="38">
        <f>SUMIFS(Sesiones!$D$8:$D$67,Sesiones!$F$8:$F$67,C13)</f>
        <v/>
      </c>
      <c r="E13" s="19">
        <f>Panel!$C$11</f>
        <v/>
      </c>
      <c r="F13" s="41">
        <f>D13-E13</f>
        <v/>
      </c>
      <c r="G13" s="16">
        <f>IF(D13&gt;=E13,"Cumplido","Por debajo")</f>
        <v/>
      </c>
      <c r="H13" s="29">
        <f>COUNTIFS(Sesiones!$F$8:$F$67,C13)</f>
        <v/>
      </c>
      <c r="I13" s="19">
        <f>SUM($D$8:D13)</f>
        <v/>
      </c>
    </row>
    <row r="14">
      <c r="B14" s="29">
        <f>ROW()-7</f>
        <v/>
      </c>
      <c r="C14" s="17">
        <f>$H$5+7*(B14-1)</f>
        <v/>
      </c>
      <c r="D14" s="38">
        <f>SUMIFS(Sesiones!$D$8:$D$67,Sesiones!$F$8:$F$67,C14)</f>
        <v/>
      </c>
      <c r="E14" s="19">
        <f>Panel!$C$11</f>
        <v/>
      </c>
      <c r="F14" s="41">
        <f>D14-E14</f>
        <v/>
      </c>
      <c r="G14" s="16">
        <f>IF(D14&gt;=E14,"Cumplido","Por debajo")</f>
        <v/>
      </c>
      <c r="H14" s="29">
        <f>COUNTIFS(Sesiones!$F$8:$F$67,C14)</f>
        <v/>
      </c>
      <c r="I14" s="19">
        <f>SUM($D$8:D14)</f>
        <v/>
      </c>
    </row>
    <row r="15">
      <c r="B15" s="29">
        <f>ROW()-7</f>
        <v/>
      </c>
      <c r="C15" s="17">
        <f>$H$5+7*(B15-1)</f>
        <v/>
      </c>
      <c r="D15" s="38">
        <f>SUMIFS(Sesiones!$D$8:$D$67,Sesiones!$F$8:$F$67,C15)</f>
        <v/>
      </c>
      <c r="E15" s="19">
        <f>Panel!$C$11</f>
        <v/>
      </c>
      <c r="F15" s="41">
        <f>D15-E15</f>
        <v/>
      </c>
      <c r="G15" s="16">
        <f>IF(D15&gt;=E15,"Cumplido","Por debajo")</f>
        <v/>
      </c>
      <c r="H15" s="29">
        <f>COUNTIFS(Sesiones!$F$8:$F$67,C15)</f>
        <v/>
      </c>
      <c r="I15" s="19">
        <f>SUM($D$8:D15)</f>
        <v/>
      </c>
    </row>
    <row r="16">
      <c r="B16" s="29">
        <f>ROW()-7</f>
        <v/>
      </c>
      <c r="C16" s="17">
        <f>$H$5+7*(B16-1)</f>
        <v/>
      </c>
      <c r="D16" s="38">
        <f>SUMIFS(Sesiones!$D$8:$D$67,Sesiones!$F$8:$F$67,C16)</f>
        <v/>
      </c>
      <c r="E16" s="19">
        <f>Panel!$C$11</f>
        <v/>
      </c>
      <c r="F16" s="41">
        <f>D16-E16</f>
        <v/>
      </c>
      <c r="G16" s="16">
        <f>IF(D16&gt;=E16,"Cumplido","Por debajo")</f>
        <v/>
      </c>
      <c r="H16" s="29">
        <f>COUNTIFS(Sesiones!$F$8:$F$67,C16)</f>
        <v/>
      </c>
      <c r="I16" s="19">
        <f>SUM($D$8:D16)</f>
        <v/>
      </c>
    </row>
    <row r="17">
      <c r="B17" s="29">
        <f>ROW()-7</f>
        <v/>
      </c>
      <c r="C17" s="17">
        <f>$H$5+7*(B17-1)</f>
        <v/>
      </c>
      <c r="D17" s="38">
        <f>SUMIFS(Sesiones!$D$8:$D$67,Sesiones!$F$8:$F$67,C17)</f>
        <v/>
      </c>
      <c r="E17" s="19">
        <f>Panel!$C$11</f>
        <v/>
      </c>
      <c r="F17" s="41">
        <f>D17-E17</f>
        <v/>
      </c>
      <c r="G17" s="16">
        <f>IF(D17&gt;=E17,"Cumplido","Por debajo")</f>
        <v/>
      </c>
      <c r="H17" s="29">
        <f>COUNTIFS(Sesiones!$F$8:$F$67,C17)</f>
        <v/>
      </c>
      <c r="I17" s="19">
        <f>SUM($D$8:D17)</f>
        <v/>
      </c>
    </row>
    <row r="18">
      <c r="B18" s="29">
        <f>ROW()-7</f>
        <v/>
      </c>
      <c r="C18" s="17">
        <f>$H$5+7*(B18-1)</f>
        <v/>
      </c>
      <c r="D18" s="38">
        <f>SUMIFS(Sesiones!$D$8:$D$67,Sesiones!$F$8:$F$67,C18)</f>
        <v/>
      </c>
      <c r="E18" s="19">
        <f>Panel!$C$11</f>
        <v/>
      </c>
      <c r="F18" s="41">
        <f>D18-E18</f>
        <v/>
      </c>
      <c r="G18" s="16">
        <f>IF(D18&gt;=E18,"Cumplido","Por debajo")</f>
        <v/>
      </c>
      <c r="H18" s="29">
        <f>COUNTIFS(Sesiones!$F$8:$F$67,C18)</f>
        <v/>
      </c>
      <c r="I18" s="19">
        <f>SUM($D$8:D18)</f>
        <v/>
      </c>
    </row>
    <row r="19">
      <c r="B19" s="29">
        <f>ROW()-7</f>
        <v/>
      </c>
      <c r="C19" s="17">
        <f>$H$5+7*(B19-1)</f>
        <v/>
      </c>
      <c r="D19" s="38">
        <f>SUMIFS(Sesiones!$D$8:$D$67,Sesiones!$F$8:$F$67,C19)</f>
        <v/>
      </c>
      <c r="E19" s="19">
        <f>Panel!$C$11</f>
        <v/>
      </c>
      <c r="F19" s="41">
        <f>D19-E19</f>
        <v/>
      </c>
      <c r="G19" s="16">
        <f>IF(D19&gt;=E19,"Cumplido","Por debajo")</f>
        <v/>
      </c>
      <c r="H19" s="29">
        <f>COUNTIFS(Sesiones!$F$8:$F$67,C19)</f>
        <v/>
      </c>
      <c r="I19" s="19">
        <f>SUM($D$8:D19)</f>
        <v/>
      </c>
    </row>
    <row r="20">
      <c r="B20" s="32" t="inlineStr">
        <is>
          <t>Total / media</t>
        </is>
      </c>
      <c r="C20" s="32" t="inlineStr"/>
      <c r="D20" s="33">
        <f>SUM(D8:D19)</f>
        <v/>
      </c>
      <c r="E20" s="33">
        <f>SUM(E8:E19)</f>
        <v/>
      </c>
      <c r="F20" s="42">
        <f>D20-E20</f>
        <v/>
      </c>
      <c r="G20" s="32">
        <f>COUNTIF(G8:G19,"Cumplido")&amp;" de 12"</f>
        <v/>
      </c>
      <c r="H20" s="34">
        <f>SUM(H8:H19)</f>
        <v/>
      </c>
      <c r="I20" s="32" t="inlineStr"/>
    </row>
    <row r="23">
      <c r="B23" s="13" t="inlineStr">
        <is>
          <t>REPARTO POR PLATAFORMA</t>
        </is>
      </c>
    </row>
    <row r="24" ht="32" customHeight="1">
      <c r="B24" s="14" t="inlineStr">
        <is>
          <t>Plataforma</t>
        </is>
      </c>
      <c r="C24" s="14" t="inlineStr">
        <is>
          <t>Nº de cursos</t>
        </is>
      </c>
      <c r="D24" s="14" t="inlineStr">
        <is>
          <t>Horas totales</t>
        </is>
      </c>
      <c r="E24" s="14" t="inlineStr">
        <is>
          <t>Horas dedicadas</t>
        </is>
      </c>
      <c r="F24" s="14" t="inlineStr">
        <is>
          <t>Coste (€)</t>
        </is>
      </c>
      <c r="G24" s="14" t="inlineStr">
        <is>
          <t>Coste por hora de curso</t>
        </is>
      </c>
      <c r="H24" s="14" t="inlineStr">
        <is>
          <t>% del gasto</t>
        </is>
      </c>
    </row>
    <row r="25">
      <c r="B25" s="23" t="inlineStr">
        <is>
          <t>Udemy</t>
        </is>
      </c>
      <c r="C25" s="29">
        <f>IF(B25="","",COUNTIF(Cursos!$C$8:$C$47,B25))</f>
        <v/>
      </c>
      <c r="D25" s="19">
        <f>IF(B25="","",SUMIF(Cursos!$C$8:$C$47,B25,Cursos!$D$8:$D$47))</f>
        <v/>
      </c>
      <c r="E25" s="19">
        <f>IF(B25="","",SUMIF(Cursos!$C$8:$C$47,B25,Cursos!$M$8:$M$47))</f>
        <v/>
      </c>
      <c r="F25" s="43">
        <f>IF(B25="","",SUMIF(Cursos!$C$8:$C$47,B25,Cursos!$I$8:$I$47))</f>
        <v/>
      </c>
      <c r="G25" s="30">
        <f>IF(B25="","",IF(D25=0,0,ROUND(F25/D25,2)))</f>
        <v/>
      </c>
      <c r="H25" s="44">
        <f>IF(B25="","",IF(F$33=0,0,F25/F$33))</f>
        <v/>
      </c>
    </row>
    <row r="26">
      <c r="B26" s="23" t="inlineStr">
        <is>
          <t>Coursera</t>
        </is>
      </c>
      <c r="C26" s="29">
        <f>IF(B26="","",COUNTIF(Cursos!$C$8:$C$47,B26))</f>
        <v/>
      </c>
      <c r="D26" s="19">
        <f>IF(B26="","",SUMIF(Cursos!$C$8:$C$47,B26,Cursos!$D$8:$D$47))</f>
        <v/>
      </c>
      <c r="E26" s="19">
        <f>IF(B26="","",SUMIF(Cursos!$C$8:$C$47,B26,Cursos!$M$8:$M$47))</f>
        <v/>
      </c>
      <c r="F26" s="43">
        <f>IF(B26="","",SUMIF(Cursos!$C$8:$C$47,B26,Cursos!$I$8:$I$47))</f>
        <v/>
      </c>
      <c r="G26" s="30">
        <f>IF(B26="","",IF(D26=0,0,ROUND(F26/D26,2)))</f>
        <v/>
      </c>
      <c r="H26" s="44">
        <f>IF(B26="","",IF(F$33=0,0,F26/F$33))</f>
        <v/>
      </c>
    </row>
    <row r="27">
      <c r="B27" s="23" t="inlineStr">
        <is>
          <t>edX</t>
        </is>
      </c>
      <c r="C27" s="29">
        <f>IF(B27="","",COUNTIF(Cursos!$C$8:$C$47,B27))</f>
        <v/>
      </c>
      <c r="D27" s="19">
        <f>IF(B27="","",SUMIF(Cursos!$C$8:$C$47,B27,Cursos!$D$8:$D$47))</f>
        <v/>
      </c>
      <c r="E27" s="19">
        <f>IF(B27="","",SUMIF(Cursos!$C$8:$C$47,B27,Cursos!$M$8:$M$47))</f>
        <v/>
      </c>
      <c r="F27" s="43">
        <f>IF(B27="","",SUMIF(Cursos!$C$8:$C$47,B27,Cursos!$I$8:$I$47))</f>
        <v/>
      </c>
      <c r="G27" s="30">
        <f>IF(B27="","",IF(D27=0,0,ROUND(F27/D27,2)))</f>
        <v/>
      </c>
      <c r="H27" s="44">
        <f>IF(B27="","",IF(F$33=0,0,F27/F$33))</f>
        <v/>
      </c>
    </row>
    <row r="28">
      <c r="B28" s="23" t="inlineStr">
        <is>
          <t>Domestika</t>
        </is>
      </c>
      <c r="C28" s="29">
        <f>IF(B28="","",COUNTIF(Cursos!$C$8:$C$47,B28))</f>
        <v/>
      </c>
      <c r="D28" s="19">
        <f>IF(B28="","",SUMIF(Cursos!$C$8:$C$47,B28,Cursos!$D$8:$D$47))</f>
        <v/>
      </c>
      <c r="E28" s="19">
        <f>IF(B28="","",SUMIF(Cursos!$C$8:$C$47,B28,Cursos!$M$8:$M$47))</f>
        <v/>
      </c>
      <c r="F28" s="43">
        <f>IF(B28="","",SUMIF(Cursos!$C$8:$C$47,B28,Cursos!$I$8:$I$47))</f>
        <v/>
      </c>
      <c r="G28" s="30">
        <f>IF(B28="","",IF(D28=0,0,ROUND(F28/D28,2)))</f>
        <v/>
      </c>
      <c r="H28" s="44">
        <f>IF(B28="","",IF(F$33=0,0,F28/F$33))</f>
        <v/>
      </c>
    </row>
    <row r="29">
      <c r="B29" s="23" t="inlineStr">
        <is>
          <t>LinkedIn Learning</t>
        </is>
      </c>
      <c r="C29" s="29">
        <f>IF(B29="","",COUNTIF(Cursos!$C$8:$C$47,B29))</f>
        <v/>
      </c>
      <c r="D29" s="19">
        <f>IF(B29="","",SUMIF(Cursos!$C$8:$C$47,B29,Cursos!$D$8:$D$47))</f>
        <v/>
      </c>
      <c r="E29" s="19">
        <f>IF(B29="","",SUMIF(Cursos!$C$8:$C$47,B29,Cursos!$M$8:$M$47))</f>
        <v/>
      </c>
      <c r="F29" s="43">
        <f>IF(B29="","",SUMIF(Cursos!$C$8:$C$47,B29,Cursos!$I$8:$I$47))</f>
        <v/>
      </c>
      <c r="G29" s="30">
        <f>IF(B29="","",IF(D29=0,0,ROUND(F29/D29,2)))</f>
        <v/>
      </c>
      <c r="H29" s="44">
        <f>IF(B29="","",IF(F$33=0,0,F29/F$33))</f>
        <v/>
      </c>
    </row>
    <row r="30">
      <c r="B30" s="23" t="inlineStr">
        <is>
          <t>YouTube</t>
        </is>
      </c>
      <c r="C30" s="29">
        <f>IF(B30="","",COUNTIF(Cursos!$C$8:$C$47,B30))</f>
        <v/>
      </c>
      <c r="D30" s="19">
        <f>IF(B30="","",SUMIF(Cursos!$C$8:$C$47,B30,Cursos!$D$8:$D$47))</f>
        <v/>
      </c>
      <c r="E30" s="19">
        <f>IF(B30="","",SUMIF(Cursos!$C$8:$C$47,B30,Cursos!$M$8:$M$47))</f>
        <v/>
      </c>
      <c r="F30" s="43">
        <f>IF(B30="","",SUMIF(Cursos!$C$8:$C$47,B30,Cursos!$I$8:$I$47))</f>
        <v/>
      </c>
      <c r="G30" s="30">
        <f>IF(B30="","",IF(D30=0,0,ROUND(F30/D30,2)))</f>
        <v/>
      </c>
      <c r="H30" s="44">
        <f>IF(B30="","",IF(F$33=0,0,F30/F$33))</f>
        <v/>
      </c>
    </row>
    <row r="31">
      <c r="B31" s="23" t="inlineStr">
        <is>
          <t>Miríadax</t>
        </is>
      </c>
      <c r="C31" s="29">
        <f>IF(B31="","",COUNTIF(Cursos!$C$8:$C$47,B31))</f>
        <v/>
      </c>
      <c r="D31" s="19">
        <f>IF(B31="","",SUMIF(Cursos!$C$8:$C$47,B31,Cursos!$D$8:$D$47))</f>
        <v/>
      </c>
      <c r="E31" s="19">
        <f>IF(B31="","",SUMIF(Cursos!$C$8:$C$47,B31,Cursos!$M$8:$M$47))</f>
        <v/>
      </c>
      <c r="F31" s="43">
        <f>IF(B31="","",SUMIF(Cursos!$C$8:$C$47,B31,Cursos!$I$8:$I$47))</f>
        <v/>
      </c>
      <c r="G31" s="30">
        <f>IF(B31="","",IF(D31=0,0,ROUND(F31/D31,2)))</f>
        <v/>
      </c>
      <c r="H31" s="44">
        <f>IF(B31="","",IF(F$33=0,0,F31/F$33))</f>
        <v/>
      </c>
    </row>
    <row r="32">
      <c r="B32" s="23" t="inlineStr">
        <is>
          <t>Otra</t>
        </is>
      </c>
      <c r="C32" s="29">
        <f>IF(B32="","",COUNTIF(Cursos!$C$8:$C$47,B32))</f>
        <v/>
      </c>
      <c r="D32" s="19">
        <f>IF(B32="","",SUMIF(Cursos!$C$8:$C$47,B32,Cursos!$D$8:$D$47))</f>
        <v/>
      </c>
      <c r="E32" s="19">
        <f>IF(B32="","",SUMIF(Cursos!$C$8:$C$47,B32,Cursos!$M$8:$M$47))</f>
        <v/>
      </c>
      <c r="F32" s="43">
        <f>IF(B32="","",SUMIF(Cursos!$C$8:$C$47,B32,Cursos!$I$8:$I$47))</f>
        <v/>
      </c>
      <c r="G32" s="30">
        <f>IF(B32="","",IF(D32=0,0,ROUND(F32/D32,2)))</f>
        <v/>
      </c>
      <c r="H32" s="44">
        <f>IF(B32="","",IF(F$33=0,0,F32/F$33))</f>
        <v/>
      </c>
    </row>
    <row r="33">
      <c r="B33" s="32" t="inlineStr">
        <is>
          <t>Total</t>
        </is>
      </c>
      <c r="C33" s="34">
        <f>SUM(C25:C32)</f>
        <v/>
      </c>
      <c r="D33" s="33">
        <f>SUM(D25:D32)</f>
        <v/>
      </c>
      <c r="E33" s="33">
        <f>SUM(E25:E32)</f>
        <v/>
      </c>
      <c r="F33" s="35">
        <f>SUM(F25:F32)</f>
        <v/>
      </c>
      <c r="G33" s="35">
        <f>IF(D33=0,0,ROUND(F33/D33,2))</f>
        <v/>
      </c>
      <c r="H33" s="45">
        <f>SUM(H25:H32)</f>
        <v/>
      </c>
    </row>
    <row r="34">
      <c r="B34" s="12" t="inlineStr">
        <is>
          <t>Si un curso usa una plataforma que no está en la lista, cambia o añade el nombre en las celdas crema de esta tabla: aparecerá en el desplegable de «Cursos».</t>
        </is>
      </c>
    </row>
    <row r="36">
      <c r="B36" s="13" t="inlineStr">
        <is>
          <t>HORAS DEDICADAS POR PLATAFORMA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G8:G19">
    <cfRule type="cellIs" priority="1" operator="equal" dxfId="3">
      <formula>"Cumplido"</formula>
    </cfRule>
    <cfRule type="cellIs" priority="2" operator="equal" dxfId="1">
      <formula>"Por debajo"</formula>
    </cfRule>
  </conditionalFormatting>
  <conditionalFormatting sqref="B8:C19">
    <cfRule type="expression" priority="3" dxfId="3">
      <formula>AND(Cursos!$C$5&gt;=$C8,Cursos!$C$5&lt;=$C8+6)</formula>
    </cfRule>
  </conditionalFormatting>
  <conditionalFormatting sqref="D8:D19">
    <cfRule type="dataBar" priority="4">
      <dataBar>
        <cfvo type="num" val="0"/>
        <cfvo type="max"/>
        <color rgb="0034D399"/>
      </dataBar>
    </cfRule>
  </conditionalFormatting>
  <conditionalFormatting sqref="H25:H32">
    <cfRule type="dataBar" priority="5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Seguimiento de cursos online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46" t="inlineStr">
        <is>
          <t>1.  Abre la hoja «Cursos» y escribe una fila por curso: nombre, plataforma (desplegable), horas totales del curso, módulos totales, fecha de inicio, fecha de fin que te propones y coste.</t>
        </is>
      </c>
    </row>
    <row r="7" ht="30" customHeight="1">
      <c r="B7" s="46" t="inlineStr">
        <is>
          <t>2.  Si ya habías dedicado horas antes de usar la plantilla, anótalas en «Horas previas». Si el curso es gratis, deja el coste en 0.</t>
        </is>
      </c>
    </row>
    <row r="8" ht="30" customHeight="1">
      <c r="B8" s="46" t="inlineStr">
        <is>
          <t>3.  Cada vez que avances, actualiza «Módulos hechos» en «Cursos»: el % completado, las horas que faltan, el ritmo necesario y el estado se recalculan solos.</t>
        </is>
      </c>
    </row>
    <row r="9" ht="30" customHeight="1">
      <c r="B9" s="46" t="inlineStr">
        <is>
          <t>4.  Registra cada sesión de estudio en la hoja «Sesiones»: fecha, curso (desplegable), horas y tema. Suman a las horas dedicadas del curso.</t>
        </is>
      </c>
    </row>
    <row r="10" ht="30" customHeight="1">
      <c r="B10" s="46" t="inlineStr">
        <is>
          <t>5.  Fija tu objetivo de horas por semana en «Panel» (celda C11) y el margen de retraso que toleras antes de marcar un curso como «Atrasado» (F11).</t>
        </is>
      </c>
    </row>
    <row r="11" ht="30" customHeight="1">
      <c r="B11" s="46" t="inlineStr">
        <is>
          <t>6.  En «Análisis» comprueba las últimas 12 semanas frente a tu objetivo y el reparto de horas y gasto por plataforma. Puedes cambiar los nombres de las plataformas.</t>
        </is>
      </c>
    </row>
    <row r="12" ht="30" customHeight="1">
      <c r="B12" s="46" t="inlineStr">
        <is>
          <t>7.  Marca el certificado como Pendiente u Obtenido en «Cursos» cuando proceda. Los cursos completados salen de la lista de próximos cursos del Panel.</t>
        </is>
      </c>
    </row>
    <row r="13" ht="30" customHeight="1">
      <c r="B13" s="46" t="inlineStr">
        <is>
          <t>8.  El «Panel» resume todo: cursos activos, completados, horas, inversión, avance global y los 8 cursos con fecha límite más cercana.</t>
        </is>
      </c>
    </row>
    <row r="15">
      <c r="B15" s="13" t="inlineStr">
        <is>
          <t>CONSEJOS</t>
        </is>
      </c>
    </row>
    <row r="16" ht="30" customHeight="1">
      <c r="B16" s="46" t="inlineStr">
        <is>
          <t>•  El estado «Atrasado» compara tu % completado con el tiempo transcurrido entre la fecha de inicio y el fin objetivo; es una referencia, no una norma.</t>
        </is>
      </c>
    </row>
    <row r="17" ht="30" customHeight="1">
      <c r="B17" s="46" t="inlineStr">
        <is>
          <t>•  Los datos de ejemplo (cursos, horas, costes) son ficticios; bórralos y escribe los tuyos. Las filas hasta la 47 de «Cursos» y la 67 de «Sesiones» ya tienen fórmulas.</t>
        </is>
      </c>
    </row>
    <row r="18" ht="30" customHeight="1">
      <c r="B18" s="46" t="inlineStr">
        <is>
          <t>•  Las hojas están protegidas sin contraseña para no romper fórmulas: Revisar &gt; Desproteger hoja si quieres modificar algo.</t>
        </is>
      </c>
    </row>
    <row r="19" ht="30" customHeight="1">
      <c r="B19" s="46" t="inlineStr">
        <is>
          <t>•  La columna oculta «Clave (aux.)» de «Cursos» y la J del Panel son auxiliares para ordenar la lista de próximos cursos: no las borres.</t>
        </is>
      </c>
    </row>
    <row r="21">
      <c r="B21" s="12" t="inlineStr">
        <is>
          <t>Las celdas con fondo crema y texto azul son para rellenar; las verdes se calculan solas.</t>
        </is>
      </c>
    </row>
    <row r="23" ht="44" customHeight="1">
      <c r="B23" s="47" t="inlineStr">
        <is>
          <t>Aviso: esta plantilla sirve para registrar y organizar tu formación. Los precios, duraciones y certificados son los que tú introduces; confírmalos siempre en la web de cada plataforma. No constituye asesoramiento educativo, laboral ni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2026-10-02T13:06:07Z</dcterms:created>
  <dcterms:modified xmlns:dcterms="http://purl.org/dc/terms/" xmlns:xsi="http://www.w3.org/2001/XMLSchema-instance" xsi:type="dcterms:W3CDTF">2026-10-02T13:06:07Z</dcterms:modified>
</cp:coreProperties>
</file>