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Alumnado" sheetId="2" state="visible" r:id="rId2"/>
    <sheet xmlns:r="http://schemas.openxmlformats.org/officeDocument/2006/relationships" name="Lectura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dd/mm/yyyy"/>
    <numFmt numFmtId="166" formatCode="0.0000"/>
    <numFmt numFmtId="167" formatCode="yyyy-mm-dd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b val="1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7" fillId="5" borderId="0" applyAlignment="1" pivotButton="0" quotePrefix="0" xfId="0">
      <alignment horizontal="center" vertical="center" wrapText="1"/>
    </xf>
    <xf numFmtId="3" fontId="8" fillId="5" borderId="0" applyAlignment="1" pivotButton="0" quotePrefix="0" xfId="0">
      <alignment horizontal="center" vertical="center"/>
    </xf>
    <xf numFmtId="164" fontId="8" fillId="5" borderId="0" applyAlignment="1" pivotButton="0" quotePrefix="0" xfId="0">
      <alignment horizontal="center" vertical="center"/>
    </xf>
    <xf numFmtId="9" fontId="8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applyProtection="1" pivotButton="0" quotePrefix="0" xfId="0">
      <alignment vertical="center"/>
      <protection locked="0" hidden="0"/>
    </xf>
    <xf numFmtId="1" fontId="4" fillId="4" borderId="1" applyAlignment="1" applyProtection="1" pivotButton="0" quotePrefix="0" xfId="0">
      <alignment horizontal="center" vertical="center"/>
      <protection locked="0" hidden="0"/>
    </xf>
    <xf numFmtId="3" fontId="5" fillId="0" borderId="1" applyAlignment="1" pivotButton="0" quotePrefix="0" xfId="0">
      <alignment horizontal="center" vertical="center"/>
    </xf>
    <xf numFmtId="165" fontId="11" fillId="0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left"/>
    </xf>
    <xf numFmtId="3" fontId="12" fillId="6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9" fontId="11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164" fontId="12" fillId="6" borderId="1" applyAlignment="1" pivotButton="0" quotePrefix="0" xfId="0">
      <alignment horizontal="center"/>
    </xf>
    <xf numFmtId="0" fontId="4" fillId="4" borderId="1" applyAlignment="1" applyProtection="1" pivotButton="0" quotePrefix="0" xfId="0">
      <alignment horizontal="center" vertical="center"/>
      <protection locked="0" hidden="0"/>
    </xf>
    <xf numFmtId="165" fontId="5" fillId="0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vertical="center"/>
    </xf>
    <xf numFmtId="3" fontId="4" fillId="4" borderId="1" applyAlignment="1" applyProtection="1" pivotButton="0" quotePrefix="0" xfId="0">
      <alignment horizontal="center" vertical="center"/>
      <protection locked="0" hidden="0"/>
    </xf>
    <xf numFmtId="0" fontId="10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Libros leídos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'Panel'!C34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'Panel'!$B$35:$B$44</f>
            </numRef>
          </cat>
          <val>
            <numRef>
              <f>'Panel'!$C$35:$C$44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Ranking: libros leídos (top 10)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'Panel'!D20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'Panel'!$B$21:$B$30</f>
            </numRef>
          </cat>
          <val>
            <numRef>
              <f>'Panel'!$D$21:$D$30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46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46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K4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4" customWidth="1" min="4" max="4"/>
    <col width="14" customWidth="1" min="5" max="5"/>
    <col width="24" customWidth="1" min="6" max="6"/>
    <col width="18" customWidth="1" min="7" max="7"/>
    <col width="14" customWidth="1" min="8" max="8"/>
    <col width="14" customWidth="1" min="9" max="9"/>
    <col width="16" customWidth="1" min="10" max="10"/>
    <col width="16" customWidth="1" min="11" max="11"/>
    <col width="3" customWidth="1" min="12" max="12"/>
  </cols>
  <sheetData>
    <row r="2" ht="34" customHeight="1">
      <c r="B2" s="1" t="inlineStr">
        <is>
          <t>Panel del reto lector del aula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Reto, niveles, ranking, grupos, meses y géneros · Datos de ejemplo ficticios: sustitúyelos por los de tu clase</t>
        </is>
      </c>
    </row>
    <row r="5" ht="32" customHeight="1">
      <c r="B5" s="4" t="inlineStr">
        <is>
          <t>ALUMNADO</t>
        </is>
      </c>
      <c r="C5" s="4" t="inlineStr">
        <is>
          <t>LIBROS LEÍDOS</t>
        </is>
      </c>
      <c r="D5" s="4" t="inlineStr">
        <is>
          <t>PÁGINAS LEÍDAS</t>
        </is>
      </c>
      <c r="E5" s="4" t="inlineStr">
        <is>
          <t>VALORACIÓN MEDIA</t>
        </is>
      </c>
      <c r="F5" s="4" t="inlineStr">
        <is>
          <t>LIBROS POR ALUMNO/A</t>
        </is>
      </c>
      <c r="G5" s="4" t="inlineStr">
        <is>
          <t>ALUMNADO CON RETO CUMPLIDO</t>
        </is>
      </c>
      <c r="H5" s="4" t="inlineStr">
        <is>
          <t>SIN NINGÚN LIBRO</t>
        </is>
      </c>
    </row>
    <row r="6" ht="36" customHeight="1">
      <c r="B6" s="5">
        <f>COUNTIF(Alumnado!$B$7:$B$46,"?*")</f>
        <v/>
      </c>
      <c r="C6" s="5">
        <f>SUM(Alumnado!$D$7:$D$46)</f>
        <v/>
      </c>
      <c r="D6" s="5">
        <f>SUM(Alumnado!$H$7:$H$46)</f>
        <v/>
      </c>
      <c r="E6" s="6">
        <f>IFERROR(ROUND(SUM(Lecturas!$H$7:$H$206)/COUNTIF(Lecturas!$H$7:$H$206,"&gt;0"),1),0)</f>
        <v/>
      </c>
      <c r="F6" s="6">
        <f>IF(B6=0,0,ROUND(C6/B6,1))</f>
        <v/>
      </c>
      <c r="G6" s="7">
        <f>IF(B6=0,0,COUNTIF(Alumnado!$G$7:$G$46,"Cumplido")/B6)</f>
        <v/>
      </c>
      <c r="H6" s="5">
        <f>COUNTIFS(Alumnado!$B$7:$B$46,"?*",Alumnado!$D$7:$D$46,0)</f>
        <v/>
      </c>
    </row>
    <row r="8">
      <c r="B8" s="8" t="inlineStr">
        <is>
          <t>AJUSTES DEL RETO</t>
        </is>
      </c>
      <c r="F8" s="8" t="inlineStr">
        <is>
          <t>NIVELES LECTORES (EDITABLES)</t>
        </is>
      </c>
    </row>
    <row r="9" ht="22" customHeight="1">
      <c r="B9" s="9" t="inlineStr">
        <is>
          <t>Inicio del curso</t>
        </is>
      </c>
      <c r="C9" s="10" t="n">
        <v>45915</v>
      </c>
      <c r="F9" s="11" t="inlineStr">
        <is>
          <t>Nivel lector</t>
        </is>
      </c>
      <c r="G9" s="11" t="inlineStr">
        <is>
          <t>Desde (libros)</t>
        </is>
      </c>
      <c r="H9" s="11" t="inlineStr">
        <is>
          <t>Alumnado</t>
        </is>
      </c>
    </row>
    <row r="10">
      <c r="B10" s="9" t="inlineStr">
        <is>
          <t>Fin del curso</t>
        </is>
      </c>
      <c r="C10" s="10" t="n">
        <v>46192</v>
      </c>
      <c r="F10" s="12" t="inlineStr">
        <is>
          <t>Lector/a en inicio</t>
        </is>
      </c>
      <c r="G10" s="13" t="n">
        <v>0</v>
      </c>
      <c r="H10" s="14">
        <f>COUNTIF(Alumnado!$J$7:$J$46,F10)</f>
        <v/>
      </c>
    </row>
    <row r="11">
      <c r="B11" s="9" t="inlineStr">
        <is>
          <t>Fecha de referencia</t>
        </is>
      </c>
      <c r="C11" s="10" t="n">
        <v>46081</v>
      </c>
      <c r="F11" s="12" t="inlineStr">
        <is>
          <t>Lector/a en desarrollo</t>
        </is>
      </c>
      <c r="G11" s="13" t="n">
        <v>2</v>
      </c>
      <c r="H11" s="14">
        <f>COUNTIF(Alumnado!$J$7:$J$46,F11)</f>
        <v/>
      </c>
    </row>
    <row r="12">
      <c r="B12" s="9" t="inlineStr">
        <is>
          <t>Fecha que se usa</t>
        </is>
      </c>
      <c r="C12" s="15">
        <f>IF(C11="",TODAY(),C11)</f>
        <v/>
      </c>
      <c r="F12" s="12" t="inlineStr">
        <is>
          <t>Lector/a habitual</t>
        </is>
      </c>
      <c r="G12" s="13" t="n">
        <v>4</v>
      </c>
      <c r="H12" s="14">
        <f>COUNTIF(Alumnado!$J$7:$J$46,F12)</f>
        <v/>
      </c>
    </row>
    <row r="13">
      <c r="B13" s="9" t="inlineStr">
        <is>
          <t>Reto: libros por alumno/a</t>
        </is>
      </c>
      <c r="C13" s="13" t="n">
        <v>5</v>
      </c>
      <c r="F13" s="12" t="inlineStr">
        <is>
          <t>Lector/a destacado/a</t>
        </is>
      </c>
      <c r="G13" s="13" t="n">
        <v>6</v>
      </c>
      <c r="H13" s="14">
        <f>COUNTIF(Alumnado!$J$7:$J$46,F13)</f>
        <v/>
      </c>
    </row>
    <row r="14">
      <c r="B14" s="9" t="inlineStr">
        <is>
          <t>Avance esperado del curso</t>
        </is>
      </c>
      <c r="C14" s="16">
        <f>MIN(1,MAX(0,(C12-C9+1)/(C10-C9+1)))</f>
        <v/>
      </c>
      <c r="F14" s="17" t="inlineStr">
        <is>
          <t>Total</t>
        </is>
      </c>
      <c r="H14" s="18">
        <f>SUM(H10:H13)</f>
        <v/>
      </c>
    </row>
    <row r="15">
      <c r="B15" s="9" t="inlineStr">
        <is>
          <t>Libros esperados a la fecha</t>
        </is>
      </c>
      <c r="C15" s="19">
        <f>ROUND(C13*C14,1)</f>
        <v/>
      </c>
      <c r="F15" s="20" t="inlineStr">
        <is>
          <t>Los mínimos van de menor a mayor y el primero es 0.</t>
        </is>
      </c>
    </row>
    <row r="16">
      <c r="B16" s="9" t="inlineStr">
        <is>
          <t>Progreso medio de la clase</t>
        </is>
      </c>
      <c r="C16" s="21">
        <f>IFERROR(AVERAGE(Alumnado!$F$7:$F$46),0)</f>
        <v/>
      </c>
      <c r="D16" s="22">
        <f>REPT("█",ROUND(MIN(1,C16)*14,0))&amp;REPT("░",14-ROUND(MIN(1,C16)*14,0))</f>
        <v/>
      </c>
      <c r="F16" s="20" t="inlineStr">
        <is>
          <t>El nivel se calcula con los libros leídos en el curso.</t>
        </is>
      </c>
    </row>
    <row r="17">
      <c r="B17" s="20" t="inlineStr">
        <is>
          <t>Borra la fecha de referencia para usar la de hoy.</t>
        </is>
      </c>
    </row>
    <row r="19">
      <c r="B19" s="8" t="inlineStr">
        <is>
          <t>RANKING DE LECTORES (TOP 10)</t>
        </is>
      </c>
      <c r="G19" s="8" t="inlineStr">
        <is>
          <t>RESUMEN POR GRUPO</t>
        </is>
      </c>
    </row>
    <row r="20" ht="24" customHeight="1">
      <c r="B20" s="11" t="inlineStr">
        <is>
          <t>Alumno/a</t>
        </is>
      </c>
      <c r="C20" s="11" t="inlineStr">
        <is>
          <t>Grupo</t>
        </is>
      </c>
      <c r="D20" s="11" t="inlineStr">
        <is>
          <t>Libros</t>
        </is>
      </c>
      <c r="E20" s="11" t="inlineStr">
        <is>
          <t>Páginas</t>
        </is>
      </c>
      <c r="F20" s="11" t="inlineStr">
        <is>
          <t>Estado del reto</t>
        </is>
      </c>
      <c r="G20" s="11" t="inlineStr">
        <is>
          <t>Grupo</t>
        </is>
      </c>
      <c r="H20" s="11" t="inlineStr">
        <is>
          <t>Alumnado</t>
        </is>
      </c>
      <c r="I20" s="11" t="inlineStr">
        <is>
          <t>Libros</t>
        </is>
      </c>
      <c r="J20" s="11" t="inlineStr">
        <is>
          <t>Libros / alumno/a</t>
        </is>
      </c>
      <c r="K20" s="11" t="inlineStr">
        <is>
          <t>% reto cumplido</t>
        </is>
      </c>
    </row>
    <row r="21">
      <c r="B21" s="22">
        <f>IFERROR("1. "&amp;INDEX(Alumnado!$B$7:$B$46,MATCH(1,Alumnado!$L$7:$L$46,0)),"")</f>
        <v/>
      </c>
      <c r="C21" s="23">
        <f>IFERROR(INDEX(Alumnado!$C$7:$C$46,MATCH(1,Alumnado!$L$7:$L$46,0)),"")</f>
        <v/>
      </c>
      <c r="D21" s="14">
        <f>IFERROR(INDEX(Alumnado!$D$7:$D$46,MATCH(1,Alumnado!$L$7:$L$46,0)),"")</f>
        <v/>
      </c>
      <c r="E21" s="14">
        <f>IFERROR(INDEX(Alumnado!$H$7:$H$46,MATCH(1,Alumnado!$L$7:$L$46,0)),"")</f>
        <v/>
      </c>
      <c r="F21" s="23">
        <f>IFERROR(INDEX(Alumnado!$G$7:$G$46,MATCH(1,Alumnado!$L$7:$L$46,0)),"")</f>
        <v/>
      </c>
      <c r="G21" s="24">
        <f>IF(Listas!$A$2="","",Listas!$A$2)</f>
        <v/>
      </c>
      <c r="H21" s="14">
        <f>IF(G21="","",COUNTIF(Alumnado!$C$7:$C$46,G21))</f>
        <v/>
      </c>
      <c r="I21" s="14">
        <f>IF(G21="","",SUMIF(Alumnado!$C$7:$C$46,G21,Alumnado!$D$7:$D$46))</f>
        <v/>
      </c>
      <c r="J21" s="19">
        <f>IF(OR(G21="",H21=0),"",ROUND(I21/H21,1))</f>
        <v/>
      </c>
      <c r="K21" s="16">
        <f>IF(OR(G21="",H21=0),"",COUNTIFS(Alumnado!$C$7:$C$46,G21,Alumnado!$G$7:$G$46,"Cumplido")/H21)</f>
        <v/>
      </c>
    </row>
    <row r="22">
      <c r="B22" s="22">
        <f>IFERROR("2. "&amp;INDEX(Alumnado!$B$7:$B$46,MATCH(2,Alumnado!$L$7:$L$46,0)),"")</f>
        <v/>
      </c>
      <c r="C22" s="23">
        <f>IFERROR(INDEX(Alumnado!$C$7:$C$46,MATCH(2,Alumnado!$L$7:$L$46,0)),"")</f>
        <v/>
      </c>
      <c r="D22" s="14">
        <f>IFERROR(INDEX(Alumnado!$D$7:$D$46,MATCH(2,Alumnado!$L$7:$L$46,0)),"")</f>
        <v/>
      </c>
      <c r="E22" s="14">
        <f>IFERROR(INDEX(Alumnado!$H$7:$H$46,MATCH(2,Alumnado!$L$7:$L$46,0)),"")</f>
        <v/>
      </c>
      <c r="F22" s="23">
        <f>IFERROR(INDEX(Alumnado!$G$7:$G$46,MATCH(2,Alumnado!$L$7:$L$46,0)),"")</f>
        <v/>
      </c>
      <c r="G22" s="24">
        <f>IF(Listas!$A$3="","",Listas!$A$3)</f>
        <v/>
      </c>
      <c r="H22" s="14">
        <f>IF(G22="","",COUNTIF(Alumnado!$C$7:$C$46,G22))</f>
        <v/>
      </c>
      <c r="I22" s="14">
        <f>IF(G22="","",SUMIF(Alumnado!$C$7:$C$46,G22,Alumnado!$D$7:$D$46))</f>
        <v/>
      </c>
      <c r="J22" s="19">
        <f>IF(OR(G22="",H22=0),"",ROUND(I22/H22,1))</f>
        <v/>
      </c>
      <c r="K22" s="16">
        <f>IF(OR(G22="",H22=0),"",COUNTIFS(Alumnado!$C$7:$C$46,G22,Alumnado!$G$7:$G$46,"Cumplido")/H22)</f>
        <v/>
      </c>
    </row>
    <row r="23">
      <c r="B23" s="22">
        <f>IFERROR("3. "&amp;INDEX(Alumnado!$B$7:$B$46,MATCH(3,Alumnado!$L$7:$L$46,0)),"")</f>
        <v/>
      </c>
      <c r="C23" s="23">
        <f>IFERROR(INDEX(Alumnado!$C$7:$C$46,MATCH(3,Alumnado!$L$7:$L$46,0)),"")</f>
        <v/>
      </c>
      <c r="D23" s="14">
        <f>IFERROR(INDEX(Alumnado!$D$7:$D$46,MATCH(3,Alumnado!$L$7:$L$46,0)),"")</f>
        <v/>
      </c>
      <c r="E23" s="14">
        <f>IFERROR(INDEX(Alumnado!$H$7:$H$46,MATCH(3,Alumnado!$L$7:$L$46,0)),"")</f>
        <v/>
      </c>
      <c r="F23" s="23">
        <f>IFERROR(INDEX(Alumnado!$G$7:$G$46,MATCH(3,Alumnado!$L$7:$L$46,0)),"")</f>
        <v/>
      </c>
      <c r="G23" s="24">
        <f>IF(Listas!$A$4="","",Listas!$A$4)</f>
        <v/>
      </c>
      <c r="H23" s="14">
        <f>IF(G23="","",COUNTIF(Alumnado!$C$7:$C$46,G23))</f>
        <v/>
      </c>
      <c r="I23" s="14">
        <f>IF(G23="","",SUMIF(Alumnado!$C$7:$C$46,G23,Alumnado!$D$7:$D$46))</f>
        <v/>
      </c>
      <c r="J23" s="19">
        <f>IF(OR(G23="",H23=0),"",ROUND(I23/H23,1))</f>
        <v/>
      </c>
      <c r="K23" s="16">
        <f>IF(OR(G23="",H23=0),"",COUNTIFS(Alumnado!$C$7:$C$46,G23,Alumnado!$G$7:$G$46,"Cumplido")/H23)</f>
        <v/>
      </c>
    </row>
    <row r="24">
      <c r="B24" s="22">
        <f>IFERROR("4. "&amp;INDEX(Alumnado!$B$7:$B$46,MATCH(4,Alumnado!$L$7:$L$46,0)),"")</f>
        <v/>
      </c>
      <c r="C24" s="23">
        <f>IFERROR(INDEX(Alumnado!$C$7:$C$46,MATCH(4,Alumnado!$L$7:$L$46,0)),"")</f>
        <v/>
      </c>
      <c r="D24" s="14">
        <f>IFERROR(INDEX(Alumnado!$D$7:$D$46,MATCH(4,Alumnado!$L$7:$L$46,0)),"")</f>
        <v/>
      </c>
      <c r="E24" s="14">
        <f>IFERROR(INDEX(Alumnado!$H$7:$H$46,MATCH(4,Alumnado!$L$7:$L$46,0)),"")</f>
        <v/>
      </c>
      <c r="F24" s="23">
        <f>IFERROR(INDEX(Alumnado!$G$7:$G$46,MATCH(4,Alumnado!$L$7:$L$46,0)),"")</f>
        <v/>
      </c>
      <c r="G24" s="24">
        <f>IF(Listas!$A$5="","",Listas!$A$5)</f>
        <v/>
      </c>
      <c r="H24" s="14">
        <f>IF(G24="","",COUNTIF(Alumnado!$C$7:$C$46,G24))</f>
        <v/>
      </c>
      <c r="I24" s="14">
        <f>IF(G24="","",SUMIF(Alumnado!$C$7:$C$46,G24,Alumnado!$D$7:$D$46))</f>
        <v/>
      </c>
      <c r="J24" s="19">
        <f>IF(OR(G24="",H24=0),"",ROUND(I24/H24,1))</f>
        <v/>
      </c>
      <c r="K24" s="16">
        <f>IF(OR(G24="",H24=0),"",COUNTIFS(Alumnado!$C$7:$C$46,G24,Alumnado!$G$7:$G$46,"Cumplido")/H24)</f>
        <v/>
      </c>
    </row>
    <row r="25">
      <c r="B25" s="22">
        <f>IFERROR("5. "&amp;INDEX(Alumnado!$B$7:$B$46,MATCH(5,Alumnado!$L$7:$L$46,0)),"")</f>
        <v/>
      </c>
      <c r="C25" s="23">
        <f>IFERROR(INDEX(Alumnado!$C$7:$C$46,MATCH(5,Alumnado!$L$7:$L$46,0)),"")</f>
        <v/>
      </c>
      <c r="D25" s="14">
        <f>IFERROR(INDEX(Alumnado!$D$7:$D$46,MATCH(5,Alumnado!$L$7:$L$46,0)),"")</f>
        <v/>
      </c>
      <c r="E25" s="14">
        <f>IFERROR(INDEX(Alumnado!$H$7:$H$46,MATCH(5,Alumnado!$L$7:$L$46,0)),"")</f>
        <v/>
      </c>
      <c r="F25" s="23">
        <f>IFERROR(INDEX(Alumnado!$G$7:$G$46,MATCH(5,Alumnado!$L$7:$L$46,0)),"")</f>
        <v/>
      </c>
      <c r="G25" s="24">
        <f>IF(Listas!$A$6="","",Listas!$A$6)</f>
        <v/>
      </c>
      <c r="H25" s="14">
        <f>IF(G25="","",COUNTIF(Alumnado!$C$7:$C$46,G25))</f>
        <v/>
      </c>
      <c r="I25" s="14">
        <f>IF(G25="","",SUMIF(Alumnado!$C$7:$C$46,G25,Alumnado!$D$7:$D$46))</f>
        <v/>
      </c>
      <c r="J25" s="19">
        <f>IF(OR(G25="",H25=0),"",ROUND(I25/H25,1))</f>
        <v/>
      </c>
      <c r="K25" s="16">
        <f>IF(OR(G25="",H25=0),"",COUNTIFS(Alumnado!$C$7:$C$46,G25,Alumnado!$G$7:$G$46,"Cumplido")/H25)</f>
        <v/>
      </c>
    </row>
    <row r="26">
      <c r="B26" s="22">
        <f>IFERROR("6. "&amp;INDEX(Alumnado!$B$7:$B$46,MATCH(6,Alumnado!$L$7:$L$46,0)),"")</f>
        <v/>
      </c>
      <c r="C26" s="23">
        <f>IFERROR(INDEX(Alumnado!$C$7:$C$46,MATCH(6,Alumnado!$L$7:$L$46,0)),"")</f>
        <v/>
      </c>
      <c r="D26" s="14">
        <f>IFERROR(INDEX(Alumnado!$D$7:$D$46,MATCH(6,Alumnado!$L$7:$L$46,0)),"")</f>
        <v/>
      </c>
      <c r="E26" s="14">
        <f>IFERROR(INDEX(Alumnado!$H$7:$H$46,MATCH(6,Alumnado!$L$7:$L$46,0)),"")</f>
        <v/>
      </c>
      <c r="F26" s="23">
        <f>IFERROR(INDEX(Alumnado!$G$7:$G$46,MATCH(6,Alumnado!$L$7:$L$46,0)),"")</f>
        <v/>
      </c>
      <c r="G26" s="24">
        <f>IF(Listas!$A$7="","",Listas!$A$7)</f>
        <v/>
      </c>
      <c r="H26" s="14">
        <f>IF(G26="","",COUNTIF(Alumnado!$C$7:$C$46,G26))</f>
        <v/>
      </c>
      <c r="I26" s="14">
        <f>IF(G26="","",SUMIF(Alumnado!$C$7:$C$46,G26,Alumnado!$D$7:$D$46))</f>
        <v/>
      </c>
      <c r="J26" s="19">
        <f>IF(OR(G26="",H26=0),"",ROUND(I26/H26,1))</f>
        <v/>
      </c>
      <c r="K26" s="16">
        <f>IF(OR(G26="",H26=0),"",COUNTIFS(Alumnado!$C$7:$C$46,G26,Alumnado!$G$7:$G$46,"Cumplido")/H26)</f>
        <v/>
      </c>
    </row>
    <row r="27">
      <c r="B27" s="22">
        <f>IFERROR("7. "&amp;INDEX(Alumnado!$B$7:$B$46,MATCH(7,Alumnado!$L$7:$L$46,0)),"")</f>
        <v/>
      </c>
      <c r="C27" s="23">
        <f>IFERROR(INDEX(Alumnado!$C$7:$C$46,MATCH(7,Alumnado!$L$7:$L$46,0)),"")</f>
        <v/>
      </c>
      <c r="D27" s="14">
        <f>IFERROR(INDEX(Alumnado!$D$7:$D$46,MATCH(7,Alumnado!$L$7:$L$46,0)),"")</f>
        <v/>
      </c>
      <c r="E27" s="14">
        <f>IFERROR(INDEX(Alumnado!$H$7:$H$46,MATCH(7,Alumnado!$L$7:$L$46,0)),"")</f>
        <v/>
      </c>
      <c r="F27" s="23">
        <f>IFERROR(INDEX(Alumnado!$G$7:$G$46,MATCH(7,Alumnado!$L$7:$L$46,0)),"")</f>
        <v/>
      </c>
      <c r="G27" s="25" t="inlineStr">
        <is>
          <t>Total</t>
        </is>
      </c>
      <c r="H27" s="18">
        <f>SUM(H21:H26)</f>
        <v/>
      </c>
      <c r="I27" s="18">
        <f>SUM(I21:I26)</f>
        <v/>
      </c>
      <c r="J27" s="26">
        <f>IF(H27=0,0,ROUND(I27/H27,1))</f>
        <v/>
      </c>
    </row>
    <row r="28">
      <c r="B28" s="22">
        <f>IFERROR("8. "&amp;INDEX(Alumnado!$B$7:$B$46,MATCH(8,Alumnado!$L$7:$L$46,0)),"")</f>
        <v/>
      </c>
      <c r="C28" s="23">
        <f>IFERROR(INDEX(Alumnado!$C$7:$C$46,MATCH(8,Alumnado!$L$7:$L$46,0)),"")</f>
        <v/>
      </c>
      <c r="D28" s="14">
        <f>IFERROR(INDEX(Alumnado!$D$7:$D$46,MATCH(8,Alumnado!$L$7:$L$46,0)),"")</f>
        <v/>
      </c>
      <c r="E28" s="14">
        <f>IFERROR(INDEX(Alumnado!$H$7:$H$46,MATCH(8,Alumnado!$L$7:$L$46,0)),"")</f>
        <v/>
      </c>
      <c r="F28" s="23">
        <f>IFERROR(INDEX(Alumnado!$G$7:$G$46,MATCH(8,Alumnado!$L$7:$L$46,0)),"")</f>
        <v/>
      </c>
    </row>
    <row r="29">
      <c r="B29" s="22">
        <f>IFERROR("9. "&amp;INDEX(Alumnado!$B$7:$B$46,MATCH(9,Alumnado!$L$7:$L$46,0)),"")</f>
        <v/>
      </c>
      <c r="C29" s="23">
        <f>IFERROR(INDEX(Alumnado!$C$7:$C$46,MATCH(9,Alumnado!$L$7:$L$46,0)),"")</f>
        <v/>
      </c>
      <c r="D29" s="14">
        <f>IFERROR(INDEX(Alumnado!$D$7:$D$46,MATCH(9,Alumnado!$L$7:$L$46,0)),"")</f>
        <v/>
      </c>
      <c r="E29" s="14">
        <f>IFERROR(INDEX(Alumnado!$H$7:$H$46,MATCH(9,Alumnado!$L$7:$L$46,0)),"")</f>
        <v/>
      </c>
      <c r="F29" s="23">
        <f>IFERROR(INDEX(Alumnado!$G$7:$G$46,MATCH(9,Alumnado!$L$7:$L$46,0)),"")</f>
        <v/>
      </c>
    </row>
    <row r="30">
      <c r="B30" s="22">
        <f>IFERROR("10. "&amp;INDEX(Alumnado!$B$7:$B$46,MATCH(10,Alumnado!$L$7:$L$46,0)),"")</f>
        <v/>
      </c>
      <c r="C30" s="23">
        <f>IFERROR(INDEX(Alumnado!$C$7:$C$46,MATCH(10,Alumnado!$L$7:$L$46,0)),"")</f>
        <v/>
      </c>
      <c r="D30" s="14">
        <f>IFERROR(INDEX(Alumnado!$D$7:$D$46,MATCH(10,Alumnado!$L$7:$L$46,0)),"")</f>
        <v/>
      </c>
      <c r="E30" s="14">
        <f>IFERROR(INDEX(Alumnado!$H$7:$H$46,MATCH(10,Alumnado!$L$7:$L$46,0)),"")</f>
        <v/>
      </c>
      <c r="F30" s="23">
        <f>IFERROR(INDEX(Alumnado!$G$7:$G$46,MATCH(10,Alumnado!$L$7:$L$46,0)),"")</f>
        <v/>
      </c>
    </row>
    <row r="31">
      <c r="B31" s="20" t="inlineStr">
        <is>
          <t>Mismo número de libros: desempata quien tiene más páginas.</t>
        </is>
      </c>
    </row>
    <row r="33">
      <c r="B33" s="8" t="inlineStr">
        <is>
          <t>LIBROS LEÍDOS POR MES (DESDE EL INICIO DEL CURSO)</t>
        </is>
      </c>
      <c r="G33" s="8" t="inlineStr">
        <is>
          <t>LIBROS POR GÉNERO</t>
        </is>
      </c>
    </row>
    <row r="34" ht="24" customHeight="1">
      <c r="B34" s="11" t="inlineStr">
        <is>
          <t>Mes</t>
        </is>
      </c>
      <c r="C34" s="11" t="inlineStr">
        <is>
          <t>Libros</t>
        </is>
      </c>
      <c r="D34" s="11" t="inlineStr">
        <is>
          <t>Páginas</t>
        </is>
      </c>
      <c r="E34" s="11" t="inlineStr">
        <is>
          <t>Libros acumulados</t>
        </is>
      </c>
      <c r="G34" s="11" t="inlineStr">
        <is>
          <t>Género</t>
        </is>
      </c>
      <c r="H34" s="11" t="inlineStr">
        <is>
          <t>Libros</t>
        </is>
      </c>
      <c r="I34" s="11" t="inlineStr">
        <is>
          <t>Páginas</t>
        </is>
      </c>
      <c r="J34" s="11" t="inlineStr">
        <is>
          <t>Valoración media</t>
        </is>
      </c>
    </row>
    <row r="35">
      <c r="B35" s="24">
        <f>INDEX(Listas!$C$2:$C$13,MONTH(DATE(YEAR($C$9),MONTH($C$9)+0,1)))&amp;" "&amp;YEAR(DATE(YEAR($C$9),MONTH($C$9)+0,1))</f>
        <v/>
      </c>
      <c r="C35" s="14">
        <f>COUNTIFS(Lecturas!$B$7:$B$206,"&gt;="&amp;DATE(YEAR($C$9),MONTH($C$9)+0,1),Lecturas!$B$7:$B$206,"&lt;"&amp;DATE(YEAR($C$9),MONTH($C$9)+1,1),Lecturas!$C$7:$C$206,"?*")</f>
        <v/>
      </c>
      <c r="D35" s="14">
        <f>SUMIFS(Lecturas!$G$7:$G$206,Lecturas!$B$7:$B$206,"&gt;="&amp;DATE(YEAR($C$9),MONTH($C$9)+0,1),Lecturas!$B$7:$B$206,"&lt;"&amp;DATE(YEAR($C$9),MONTH($C$9)+1,1),Lecturas!$C$7:$C$206,"?*")</f>
        <v/>
      </c>
      <c r="E35" s="14">
        <f>SUM($C$35:C35)</f>
        <v/>
      </c>
      <c r="G35" s="24">
        <f>Listas!$B$2</f>
        <v/>
      </c>
      <c r="H35" s="14">
        <f>COUNTIFS(Lecturas!$F$7:$F$206,G35,Lecturas!$C$7:$C$206,"?*")</f>
        <v/>
      </c>
      <c r="I35" s="14">
        <f>SUMIFS(Lecturas!$G$7:$G$206,Lecturas!$F$7:$F$206,G35,Lecturas!$C$7:$C$206,"?*")</f>
        <v/>
      </c>
      <c r="J35" s="19">
        <f>IF(H35=0,"",IFERROR(ROUND(SUMIFS(Lecturas!$H$7:$H$206,Lecturas!$F$7:$F$206,G35)/COUNTIFS(Lecturas!$F$7:$F$206,G35,Lecturas!$H$7:$H$206,"&gt;0"),1),""))</f>
        <v/>
      </c>
    </row>
    <row r="36">
      <c r="B36" s="24">
        <f>INDEX(Listas!$C$2:$C$13,MONTH(DATE(YEAR($C$9),MONTH($C$9)+1,1)))&amp;" "&amp;YEAR(DATE(YEAR($C$9),MONTH($C$9)+1,1))</f>
        <v/>
      </c>
      <c r="C36" s="14">
        <f>COUNTIFS(Lecturas!$B$7:$B$206,"&gt;="&amp;DATE(YEAR($C$9),MONTH($C$9)+1,1),Lecturas!$B$7:$B$206,"&lt;"&amp;DATE(YEAR($C$9),MONTH($C$9)+2,1),Lecturas!$C$7:$C$206,"?*")</f>
        <v/>
      </c>
      <c r="D36" s="14">
        <f>SUMIFS(Lecturas!$G$7:$G$206,Lecturas!$B$7:$B$206,"&gt;="&amp;DATE(YEAR($C$9),MONTH($C$9)+1,1),Lecturas!$B$7:$B$206,"&lt;"&amp;DATE(YEAR($C$9),MONTH($C$9)+2,1),Lecturas!$C$7:$C$206,"?*")</f>
        <v/>
      </c>
      <c r="E36" s="14">
        <f>SUM($C$35:C36)</f>
        <v/>
      </c>
      <c r="G36" s="24">
        <f>Listas!$B$3</f>
        <v/>
      </c>
      <c r="H36" s="14">
        <f>COUNTIFS(Lecturas!$F$7:$F$206,G36,Lecturas!$C$7:$C$206,"?*")</f>
        <v/>
      </c>
      <c r="I36" s="14">
        <f>SUMIFS(Lecturas!$G$7:$G$206,Lecturas!$F$7:$F$206,G36,Lecturas!$C$7:$C$206,"?*")</f>
        <v/>
      </c>
      <c r="J36" s="19">
        <f>IF(H36=0,"",IFERROR(ROUND(SUMIFS(Lecturas!$H$7:$H$206,Lecturas!$F$7:$F$206,G36)/COUNTIFS(Lecturas!$F$7:$F$206,G36,Lecturas!$H$7:$H$206,"&gt;0"),1),""))</f>
        <v/>
      </c>
    </row>
    <row r="37">
      <c r="B37" s="24">
        <f>INDEX(Listas!$C$2:$C$13,MONTH(DATE(YEAR($C$9),MONTH($C$9)+2,1)))&amp;" "&amp;YEAR(DATE(YEAR($C$9),MONTH($C$9)+2,1))</f>
        <v/>
      </c>
      <c r="C37" s="14">
        <f>COUNTIFS(Lecturas!$B$7:$B$206,"&gt;="&amp;DATE(YEAR($C$9),MONTH($C$9)+2,1),Lecturas!$B$7:$B$206,"&lt;"&amp;DATE(YEAR($C$9),MONTH($C$9)+3,1),Lecturas!$C$7:$C$206,"?*")</f>
        <v/>
      </c>
      <c r="D37" s="14">
        <f>SUMIFS(Lecturas!$G$7:$G$206,Lecturas!$B$7:$B$206,"&gt;="&amp;DATE(YEAR($C$9),MONTH($C$9)+2,1),Lecturas!$B$7:$B$206,"&lt;"&amp;DATE(YEAR($C$9),MONTH($C$9)+3,1),Lecturas!$C$7:$C$206,"?*")</f>
        <v/>
      </c>
      <c r="E37" s="14">
        <f>SUM($C$35:C37)</f>
        <v/>
      </c>
      <c r="G37" s="24">
        <f>Listas!$B$4</f>
        <v/>
      </c>
      <c r="H37" s="14">
        <f>COUNTIFS(Lecturas!$F$7:$F$206,G37,Lecturas!$C$7:$C$206,"?*")</f>
        <v/>
      </c>
      <c r="I37" s="14">
        <f>SUMIFS(Lecturas!$G$7:$G$206,Lecturas!$F$7:$F$206,G37,Lecturas!$C$7:$C$206,"?*")</f>
        <v/>
      </c>
      <c r="J37" s="19">
        <f>IF(H37=0,"",IFERROR(ROUND(SUMIFS(Lecturas!$H$7:$H$206,Lecturas!$F$7:$F$206,G37)/COUNTIFS(Lecturas!$F$7:$F$206,G37,Lecturas!$H$7:$H$206,"&gt;0"),1),""))</f>
        <v/>
      </c>
    </row>
    <row r="38">
      <c r="B38" s="24">
        <f>INDEX(Listas!$C$2:$C$13,MONTH(DATE(YEAR($C$9),MONTH($C$9)+3,1)))&amp;" "&amp;YEAR(DATE(YEAR($C$9),MONTH($C$9)+3,1))</f>
        <v/>
      </c>
      <c r="C38" s="14">
        <f>COUNTIFS(Lecturas!$B$7:$B$206,"&gt;="&amp;DATE(YEAR($C$9),MONTH($C$9)+3,1),Lecturas!$B$7:$B$206,"&lt;"&amp;DATE(YEAR($C$9),MONTH($C$9)+4,1),Lecturas!$C$7:$C$206,"?*")</f>
        <v/>
      </c>
      <c r="D38" s="14">
        <f>SUMIFS(Lecturas!$G$7:$G$206,Lecturas!$B$7:$B$206,"&gt;="&amp;DATE(YEAR($C$9),MONTH($C$9)+3,1),Lecturas!$B$7:$B$206,"&lt;"&amp;DATE(YEAR($C$9),MONTH($C$9)+4,1),Lecturas!$C$7:$C$206,"?*")</f>
        <v/>
      </c>
      <c r="E38" s="14">
        <f>SUM($C$35:C38)</f>
        <v/>
      </c>
      <c r="G38" s="24">
        <f>Listas!$B$5</f>
        <v/>
      </c>
      <c r="H38" s="14">
        <f>COUNTIFS(Lecturas!$F$7:$F$206,G38,Lecturas!$C$7:$C$206,"?*")</f>
        <v/>
      </c>
      <c r="I38" s="14">
        <f>SUMIFS(Lecturas!$G$7:$G$206,Lecturas!$F$7:$F$206,G38,Lecturas!$C$7:$C$206,"?*")</f>
        <v/>
      </c>
      <c r="J38" s="19">
        <f>IF(H38=0,"",IFERROR(ROUND(SUMIFS(Lecturas!$H$7:$H$206,Lecturas!$F$7:$F$206,G38)/COUNTIFS(Lecturas!$F$7:$F$206,G38,Lecturas!$H$7:$H$206,"&gt;0"),1),""))</f>
        <v/>
      </c>
    </row>
    <row r="39">
      <c r="B39" s="24">
        <f>INDEX(Listas!$C$2:$C$13,MONTH(DATE(YEAR($C$9),MONTH($C$9)+4,1)))&amp;" "&amp;YEAR(DATE(YEAR($C$9),MONTH($C$9)+4,1))</f>
        <v/>
      </c>
      <c r="C39" s="14">
        <f>COUNTIFS(Lecturas!$B$7:$B$206,"&gt;="&amp;DATE(YEAR($C$9),MONTH($C$9)+4,1),Lecturas!$B$7:$B$206,"&lt;"&amp;DATE(YEAR($C$9),MONTH($C$9)+5,1),Lecturas!$C$7:$C$206,"?*")</f>
        <v/>
      </c>
      <c r="D39" s="14">
        <f>SUMIFS(Lecturas!$G$7:$G$206,Lecturas!$B$7:$B$206,"&gt;="&amp;DATE(YEAR($C$9),MONTH($C$9)+4,1),Lecturas!$B$7:$B$206,"&lt;"&amp;DATE(YEAR($C$9),MONTH($C$9)+5,1),Lecturas!$C$7:$C$206,"?*")</f>
        <v/>
      </c>
      <c r="E39" s="14">
        <f>SUM($C$35:C39)</f>
        <v/>
      </c>
      <c r="G39" s="24">
        <f>Listas!$B$6</f>
        <v/>
      </c>
      <c r="H39" s="14">
        <f>COUNTIFS(Lecturas!$F$7:$F$206,G39,Lecturas!$C$7:$C$206,"?*")</f>
        <v/>
      </c>
      <c r="I39" s="14">
        <f>SUMIFS(Lecturas!$G$7:$G$206,Lecturas!$F$7:$F$206,G39,Lecturas!$C$7:$C$206,"?*")</f>
        <v/>
      </c>
      <c r="J39" s="19">
        <f>IF(H39=0,"",IFERROR(ROUND(SUMIFS(Lecturas!$H$7:$H$206,Lecturas!$F$7:$F$206,G39)/COUNTIFS(Lecturas!$F$7:$F$206,G39,Lecturas!$H$7:$H$206,"&gt;0"),1),""))</f>
        <v/>
      </c>
    </row>
    <row r="40">
      <c r="B40" s="24">
        <f>INDEX(Listas!$C$2:$C$13,MONTH(DATE(YEAR($C$9),MONTH($C$9)+5,1)))&amp;" "&amp;YEAR(DATE(YEAR($C$9),MONTH($C$9)+5,1))</f>
        <v/>
      </c>
      <c r="C40" s="14">
        <f>COUNTIFS(Lecturas!$B$7:$B$206,"&gt;="&amp;DATE(YEAR($C$9),MONTH($C$9)+5,1),Lecturas!$B$7:$B$206,"&lt;"&amp;DATE(YEAR($C$9),MONTH($C$9)+6,1),Lecturas!$C$7:$C$206,"?*")</f>
        <v/>
      </c>
      <c r="D40" s="14">
        <f>SUMIFS(Lecturas!$G$7:$G$206,Lecturas!$B$7:$B$206,"&gt;="&amp;DATE(YEAR($C$9),MONTH($C$9)+5,1),Lecturas!$B$7:$B$206,"&lt;"&amp;DATE(YEAR($C$9),MONTH($C$9)+6,1),Lecturas!$C$7:$C$206,"?*")</f>
        <v/>
      </c>
      <c r="E40" s="14">
        <f>SUM($C$35:C40)</f>
        <v/>
      </c>
      <c r="G40" s="24">
        <f>Listas!$B$7</f>
        <v/>
      </c>
      <c r="H40" s="14">
        <f>COUNTIFS(Lecturas!$F$7:$F$206,G40,Lecturas!$C$7:$C$206,"?*")</f>
        <v/>
      </c>
      <c r="I40" s="14">
        <f>SUMIFS(Lecturas!$G$7:$G$206,Lecturas!$F$7:$F$206,G40,Lecturas!$C$7:$C$206,"?*")</f>
        <v/>
      </c>
      <c r="J40" s="19">
        <f>IF(H40=0,"",IFERROR(ROUND(SUMIFS(Lecturas!$H$7:$H$206,Lecturas!$F$7:$F$206,G40)/COUNTIFS(Lecturas!$F$7:$F$206,G40,Lecturas!$H$7:$H$206,"&gt;0"),1),""))</f>
        <v/>
      </c>
    </row>
    <row r="41">
      <c r="B41" s="24">
        <f>INDEX(Listas!$C$2:$C$13,MONTH(DATE(YEAR($C$9),MONTH($C$9)+6,1)))&amp;" "&amp;YEAR(DATE(YEAR($C$9),MONTH($C$9)+6,1))</f>
        <v/>
      </c>
      <c r="C41" s="14">
        <f>COUNTIFS(Lecturas!$B$7:$B$206,"&gt;="&amp;DATE(YEAR($C$9),MONTH($C$9)+6,1),Lecturas!$B$7:$B$206,"&lt;"&amp;DATE(YEAR($C$9),MONTH($C$9)+7,1),Lecturas!$C$7:$C$206,"?*")</f>
        <v/>
      </c>
      <c r="D41" s="14">
        <f>SUMIFS(Lecturas!$G$7:$G$206,Lecturas!$B$7:$B$206,"&gt;="&amp;DATE(YEAR($C$9),MONTH($C$9)+6,1),Lecturas!$B$7:$B$206,"&lt;"&amp;DATE(YEAR($C$9),MONTH($C$9)+7,1),Lecturas!$C$7:$C$206,"?*")</f>
        <v/>
      </c>
      <c r="E41" s="14">
        <f>SUM($C$35:C41)</f>
        <v/>
      </c>
      <c r="G41" s="24">
        <f>Listas!$B$8</f>
        <v/>
      </c>
      <c r="H41" s="14">
        <f>COUNTIFS(Lecturas!$F$7:$F$206,G41,Lecturas!$C$7:$C$206,"?*")</f>
        <v/>
      </c>
      <c r="I41" s="14">
        <f>SUMIFS(Lecturas!$G$7:$G$206,Lecturas!$F$7:$F$206,G41,Lecturas!$C$7:$C$206,"?*")</f>
        <v/>
      </c>
      <c r="J41" s="19">
        <f>IF(H41=0,"",IFERROR(ROUND(SUMIFS(Lecturas!$H$7:$H$206,Lecturas!$F$7:$F$206,G41)/COUNTIFS(Lecturas!$F$7:$F$206,G41,Lecturas!$H$7:$H$206,"&gt;0"),1),""))</f>
        <v/>
      </c>
    </row>
    <row r="42">
      <c r="B42" s="24">
        <f>INDEX(Listas!$C$2:$C$13,MONTH(DATE(YEAR($C$9),MONTH($C$9)+7,1)))&amp;" "&amp;YEAR(DATE(YEAR($C$9),MONTH($C$9)+7,1))</f>
        <v/>
      </c>
      <c r="C42" s="14">
        <f>COUNTIFS(Lecturas!$B$7:$B$206,"&gt;="&amp;DATE(YEAR($C$9),MONTH($C$9)+7,1),Lecturas!$B$7:$B$206,"&lt;"&amp;DATE(YEAR($C$9),MONTH($C$9)+8,1),Lecturas!$C$7:$C$206,"?*")</f>
        <v/>
      </c>
      <c r="D42" s="14">
        <f>SUMIFS(Lecturas!$G$7:$G$206,Lecturas!$B$7:$B$206,"&gt;="&amp;DATE(YEAR($C$9),MONTH($C$9)+7,1),Lecturas!$B$7:$B$206,"&lt;"&amp;DATE(YEAR($C$9),MONTH($C$9)+8,1),Lecturas!$C$7:$C$206,"?*")</f>
        <v/>
      </c>
      <c r="E42" s="14">
        <f>SUM($C$35:C42)</f>
        <v/>
      </c>
      <c r="G42" s="24">
        <f>Listas!$B$9</f>
        <v/>
      </c>
      <c r="H42" s="14">
        <f>COUNTIFS(Lecturas!$F$7:$F$206,G42,Lecturas!$C$7:$C$206,"?*")</f>
        <v/>
      </c>
      <c r="I42" s="14">
        <f>SUMIFS(Lecturas!$G$7:$G$206,Lecturas!$F$7:$F$206,G42,Lecturas!$C$7:$C$206,"?*")</f>
        <v/>
      </c>
      <c r="J42" s="19">
        <f>IF(H42=0,"",IFERROR(ROUND(SUMIFS(Lecturas!$H$7:$H$206,Lecturas!$F$7:$F$206,G42)/COUNTIFS(Lecturas!$F$7:$F$206,G42,Lecturas!$H$7:$H$206,"&gt;0"),1),""))</f>
        <v/>
      </c>
    </row>
    <row r="43">
      <c r="B43" s="24">
        <f>INDEX(Listas!$C$2:$C$13,MONTH(DATE(YEAR($C$9),MONTH($C$9)+8,1)))&amp;" "&amp;YEAR(DATE(YEAR($C$9),MONTH($C$9)+8,1))</f>
        <v/>
      </c>
      <c r="C43" s="14">
        <f>COUNTIFS(Lecturas!$B$7:$B$206,"&gt;="&amp;DATE(YEAR($C$9),MONTH($C$9)+8,1),Lecturas!$B$7:$B$206,"&lt;"&amp;DATE(YEAR($C$9),MONTH($C$9)+9,1),Lecturas!$C$7:$C$206,"?*")</f>
        <v/>
      </c>
      <c r="D43" s="14">
        <f>SUMIFS(Lecturas!$G$7:$G$206,Lecturas!$B$7:$B$206,"&gt;="&amp;DATE(YEAR($C$9),MONTH($C$9)+8,1),Lecturas!$B$7:$B$206,"&lt;"&amp;DATE(YEAR($C$9),MONTH($C$9)+9,1),Lecturas!$C$7:$C$206,"?*")</f>
        <v/>
      </c>
      <c r="E43" s="14">
        <f>SUM($C$35:C43)</f>
        <v/>
      </c>
      <c r="G43" s="25" t="inlineStr">
        <is>
          <t>Total</t>
        </is>
      </c>
      <c r="H43" s="18">
        <f>SUM(H35:H42)</f>
        <v/>
      </c>
      <c r="I43" s="18">
        <f>SUM(I35:I42)</f>
        <v/>
      </c>
    </row>
    <row r="44">
      <c r="B44" s="24">
        <f>INDEX(Listas!$C$2:$C$13,MONTH(DATE(YEAR($C$9),MONTH($C$9)+9,1)))&amp;" "&amp;YEAR(DATE(YEAR($C$9),MONTH($C$9)+9,1))</f>
        <v/>
      </c>
      <c r="C44" s="14">
        <f>COUNTIFS(Lecturas!$B$7:$B$206,"&gt;="&amp;DATE(YEAR($C$9),MONTH($C$9)+9,1),Lecturas!$B$7:$B$206,"&lt;"&amp;DATE(YEAR($C$9),MONTH($C$9)+10,1),Lecturas!$C$7:$C$206,"?*")</f>
        <v/>
      </c>
      <c r="D44" s="14">
        <f>SUMIFS(Lecturas!$G$7:$G$206,Lecturas!$B$7:$B$206,"&gt;="&amp;DATE(YEAR($C$9),MONTH($C$9)+9,1),Lecturas!$B$7:$B$206,"&lt;"&amp;DATE(YEAR($C$9),MONTH($C$9)+10,1),Lecturas!$C$7:$C$206,"?*")</f>
        <v/>
      </c>
      <c r="E44" s="14">
        <f>SUM($C$35:C44)</f>
        <v/>
      </c>
      <c r="G44" s="25" t="inlineStr">
        <is>
          <t>Género más leído</t>
        </is>
      </c>
      <c r="H44" s="24">
        <f>IF(H43=0,"",INDEX(G35:G42,MATCH(MAX(H35:H42),H35:H42,0)))</f>
        <v/>
      </c>
    </row>
    <row r="45">
      <c r="B45" s="25" t="inlineStr">
        <is>
          <t>Total del curso</t>
        </is>
      </c>
      <c r="C45" s="18">
        <f>SUM(C35:C44)</f>
        <v/>
      </c>
      <c r="D45" s="18">
        <f>SUM(D35:D44)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H10:H13">
    <cfRule type="dataBar" priority="1">
      <dataBar>
        <cfvo type="num" val="0"/>
        <cfvo type="max"/>
        <color rgb="0010B981"/>
      </dataBar>
    </cfRule>
  </conditionalFormatting>
  <conditionalFormatting sqref="D21:D30">
    <cfRule type="dataBar" priority="2">
      <dataBar>
        <cfvo type="num" val="0"/>
        <cfvo type="max"/>
        <color rgb="0010B981"/>
      </dataBar>
    </cfRule>
  </conditionalFormatting>
  <conditionalFormatting sqref="F21:F30">
    <cfRule type="cellIs" priority="3" operator="equal" dxfId="0">
      <formula>"Cumplido"</formula>
    </cfRule>
    <cfRule type="cellIs" priority="4" operator="equal" dxfId="1">
      <formula>"Por debajo"</formula>
    </cfRule>
  </conditionalFormatting>
  <conditionalFormatting sqref="I21:I26">
    <cfRule type="dataBar" priority="5">
      <dataBar>
        <cfvo type="num" val="0"/>
        <cfvo type="max"/>
        <color rgb="0010B981"/>
      </dataBar>
    </cfRule>
  </conditionalFormatting>
  <conditionalFormatting sqref="K21:K26">
    <cfRule type="dataBar" priority="6">
      <dataBar>
        <cfvo type="num" val="0"/>
        <cfvo type="max"/>
        <color rgb="0034D399"/>
      </dataBar>
    </cfRule>
  </conditionalFormatting>
  <conditionalFormatting sqref="C35:C44">
    <cfRule type="dataBar" priority="7">
      <dataBar>
        <cfvo type="num" val="0"/>
        <cfvo type="max"/>
        <color rgb="0010B981"/>
      </dataBar>
    </cfRule>
  </conditionalFormatting>
  <conditionalFormatting sqref="H35:H42">
    <cfRule type="dataBar" priority="8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O4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2" customWidth="1" min="3" max="3"/>
    <col width="10" customWidth="1" min="4" max="4"/>
    <col width="11" customWidth="1" min="5" max="5"/>
    <col width="12" customWidth="1" min="6" max="6"/>
    <col width="13" customWidth="1" min="7" max="7"/>
    <col width="10" customWidth="1" min="8" max="8"/>
    <col width="11" customWidth="1" min="9" max="9"/>
    <col width="24" customWidth="1" min="10" max="10"/>
    <col width="13" customWidth="1" min="11" max="11"/>
    <col width="8" customWidth="1" min="12" max="12"/>
    <col width="13" customWidth="1" min="13" max="13"/>
    <col width="34" customWidth="1" min="14" max="14"/>
    <col width="9" customWidth="1" min="15" max="15"/>
  </cols>
  <sheetData>
    <row r="2" ht="34" customHeight="1">
      <c r="B2" s="1" t="inlineStr">
        <is>
          <t>Seguimiento por alumno/a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Escribe nombre y grupo; libros, progreso del reto, nivel lector y puesto se calculan desde la hoja «Lecturas».</t>
        </is>
      </c>
    </row>
    <row r="6" ht="36" customHeight="1">
      <c r="B6" s="11" t="inlineStr">
        <is>
          <t>Alumno/a</t>
        </is>
      </c>
      <c r="C6" s="11" t="inlineStr">
        <is>
          <t>Grupo</t>
        </is>
      </c>
      <c r="D6" s="11" t="inlineStr">
        <is>
          <t>Libros leídos</t>
        </is>
      </c>
      <c r="E6" s="11" t="inlineStr">
        <is>
          <t>Objetivo (libros)</t>
        </is>
      </c>
      <c r="F6" s="11" t="inlineStr">
        <is>
          <t>Progreso del reto</t>
        </is>
      </c>
      <c r="G6" s="11" t="inlineStr">
        <is>
          <t>Estado del reto</t>
        </is>
      </c>
      <c r="H6" s="11" t="inlineStr">
        <is>
          <t>Páginas leídas</t>
        </is>
      </c>
      <c r="I6" s="11" t="inlineStr">
        <is>
          <t>Valoración media</t>
        </is>
      </c>
      <c r="J6" s="11" t="inlineStr">
        <is>
          <t>Nivel lector</t>
        </is>
      </c>
      <c r="K6" s="11" t="inlineStr">
        <is>
          <t>Último libro</t>
        </is>
      </c>
      <c r="L6" s="11" t="inlineStr">
        <is>
          <t>Puesto</t>
        </is>
      </c>
      <c r="M6" s="11" t="inlineStr">
        <is>
          <t>Objetivo personal (opcional)</t>
        </is>
      </c>
      <c r="N6" s="11" t="inlineStr">
        <is>
          <t>Observaciones</t>
        </is>
      </c>
      <c r="O6" s="11" t="inlineStr">
        <is>
          <t>Orden aux.</t>
        </is>
      </c>
    </row>
    <row r="7" ht="20" customHeight="1">
      <c r="B7" s="12" t="inlineStr">
        <is>
          <t>Lucía Martín</t>
        </is>
      </c>
      <c r="C7" s="27" t="inlineStr">
        <is>
          <t>1º ESO A</t>
        </is>
      </c>
      <c r="D7" s="14">
        <f>IF(B7="","",COUNTIF(Lecturas!$C$7:$C$206,B7))</f>
        <v/>
      </c>
      <c r="E7" s="14">
        <f>IF(B7="","",IF(M7&lt;&gt;"",M7,Panel!$C$13))</f>
        <v/>
      </c>
      <c r="F7" s="16">
        <f>IF(B7="","",IF(E7=0,0,MIN(1,D7/E7)))</f>
        <v/>
      </c>
      <c r="G7" s="23">
        <f>IF(B7="","",IF(D7&gt;=E7,"Cumplido",IF(D7&gt;=ROUND(E7*Panel!$C$14,0),"En ritmo","Por debajo")))</f>
        <v/>
      </c>
      <c r="H7" s="14">
        <f>IF(B7="","",SUMIF(Lecturas!$C$7:$C$206,B7,Lecturas!$G$7:$G$206))</f>
        <v/>
      </c>
      <c r="I7" s="19">
        <f>IF(B7="","",IFERROR(ROUND(SUMIF(Lecturas!$C$7:$C$206,B7,Lecturas!$H$7:$H$206)/COUNTIFS(Lecturas!$C$7:$C$206,B7,Lecturas!$H$7:$H$206,"&gt;0"),1),""))</f>
        <v/>
      </c>
      <c r="J7" s="22">
        <f>IF(B7="","",INDEX(Panel!$F$10:$F$13,MATCH(D7,Panel!$G$10:$G$13,1)))</f>
        <v/>
      </c>
      <c r="K7" s="28">
        <f>IF(B7="","",IF(D7=0,"",SUMPRODUCT(MAX((Lecturas!$C$7:$C$206=B7)*Lecturas!$B$7:$B$206))))</f>
        <v/>
      </c>
      <c r="L7" s="29">
        <f>IF(B7="","",RANK(O7,$O$7:$O$46))</f>
        <v/>
      </c>
      <c r="M7" s="13" t="n"/>
      <c r="N7" s="12" t="n"/>
      <c r="O7" s="30">
        <f>IF(B7="","",D7+H7/1000000+(1000-ROW())/10000000000)</f>
        <v/>
      </c>
    </row>
    <row r="8" ht="20" customHeight="1">
      <c r="B8" s="12" t="inlineStr">
        <is>
          <t>Pablo Ruiz</t>
        </is>
      </c>
      <c r="C8" s="27" t="inlineStr">
        <is>
          <t>1º ESO A</t>
        </is>
      </c>
      <c r="D8" s="14">
        <f>IF(B8="","",COUNTIF(Lecturas!$C$7:$C$206,B8))</f>
        <v/>
      </c>
      <c r="E8" s="14">
        <f>IF(B8="","",IF(M8&lt;&gt;"",M8,Panel!$C$13))</f>
        <v/>
      </c>
      <c r="F8" s="16">
        <f>IF(B8="","",IF(E8=0,0,MIN(1,D8/E8)))</f>
        <v/>
      </c>
      <c r="G8" s="23">
        <f>IF(B8="","",IF(D8&gt;=E8,"Cumplido",IF(D8&gt;=ROUND(E8*Panel!$C$14,0),"En ritmo","Por debajo")))</f>
        <v/>
      </c>
      <c r="H8" s="14">
        <f>IF(B8="","",SUMIF(Lecturas!$C$7:$C$206,B8,Lecturas!$G$7:$G$206))</f>
        <v/>
      </c>
      <c r="I8" s="19">
        <f>IF(B8="","",IFERROR(ROUND(SUMIF(Lecturas!$C$7:$C$206,B8,Lecturas!$H$7:$H$206)/COUNTIFS(Lecturas!$C$7:$C$206,B8,Lecturas!$H$7:$H$206,"&gt;0"),1),""))</f>
        <v/>
      </c>
      <c r="J8" s="22">
        <f>IF(B8="","",INDEX(Panel!$F$10:$F$13,MATCH(D8,Panel!$G$10:$G$13,1)))</f>
        <v/>
      </c>
      <c r="K8" s="28">
        <f>IF(B8="","",IF(D8=0,"",SUMPRODUCT(MAX((Lecturas!$C$7:$C$206=B8)*Lecturas!$B$7:$B$206))))</f>
        <v/>
      </c>
      <c r="L8" s="29">
        <f>IF(B8="","",RANK(O8,$O$7:$O$46))</f>
        <v/>
      </c>
      <c r="M8" s="13" t="n"/>
      <c r="N8" s="12" t="n"/>
      <c r="O8" s="30">
        <f>IF(B8="","",D8+H8/1000000+(1000-ROW())/10000000000)</f>
        <v/>
      </c>
    </row>
    <row r="9" ht="20" customHeight="1">
      <c r="B9" s="12" t="inlineStr">
        <is>
          <t>Carmen Soler</t>
        </is>
      </c>
      <c r="C9" s="27" t="inlineStr">
        <is>
          <t>1º ESO A</t>
        </is>
      </c>
      <c r="D9" s="14">
        <f>IF(B9="","",COUNTIF(Lecturas!$C$7:$C$206,B9))</f>
        <v/>
      </c>
      <c r="E9" s="14">
        <f>IF(B9="","",IF(M9&lt;&gt;"",M9,Panel!$C$13))</f>
        <v/>
      </c>
      <c r="F9" s="16">
        <f>IF(B9="","",IF(E9=0,0,MIN(1,D9/E9)))</f>
        <v/>
      </c>
      <c r="G9" s="23">
        <f>IF(B9="","",IF(D9&gt;=E9,"Cumplido",IF(D9&gt;=ROUND(E9*Panel!$C$14,0),"En ritmo","Por debajo")))</f>
        <v/>
      </c>
      <c r="H9" s="14">
        <f>IF(B9="","",SUMIF(Lecturas!$C$7:$C$206,B9,Lecturas!$G$7:$G$206))</f>
        <v/>
      </c>
      <c r="I9" s="19">
        <f>IF(B9="","",IFERROR(ROUND(SUMIF(Lecturas!$C$7:$C$206,B9,Lecturas!$H$7:$H$206)/COUNTIFS(Lecturas!$C$7:$C$206,B9,Lecturas!$H$7:$H$206,"&gt;0"),1),""))</f>
        <v/>
      </c>
      <c r="J9" s="22">
        <f>IF(B9="","",INDEX(Panel!$F$10:$F$13,MATCH(D9,Panel!$G$10:$G$13,1)))</f>
        <v/>
      </c>
      <c r="K9" s="28">
        <f>IF(B9="","",IF(D9=0,"",SUMPRODUCT(MAX((Lecturas!$C$7:$C$206=B9)*Lecturas!$B$7:$B$206))))</f>
        <v/>
      </c>
      <c r="L9" s="29">
        <f>IF(B9="","",RANK(O9,$O$7:$O$46))</f>
        <v/>
      </c>
      <c r="M9" s="13" t="n"/>
      <c r="N9" s="12" t="n"/>
      <c r="O9" s="30">
        <f>IF(B9="","",D9+H9/1000000+(1000-ROW())/10000000000)</f>
        <v/>
      </c>
    </row>
    <row r="10" ht="20" customHeight="1">
      <c r="B10" s="12" t="inlineStr">
        <is>
          <t>Hugo Navarro</t>
        </is>
      </c>
      <c r="C10" s="27" t="inlineStr">
        <is>
          <t>1º ESO A</t>
        </is>
      </c>
      <c r="D10" s="14">
        <f>IF(B10="","",COUNTIF(Lecturas!$C$7:$C$206,B10))</f>
        <v/>
      </c>
      <c r="E10" s="14">
        <f>IF(B10="","",IF(M10&lt;&gt;"",M10,Panel!$C$13))</f>
        <v/>
      </c>
      <c r="F10" s="16">
        <f>IF(B10="","",IF(E10=0,0,MIN(1,D10/E10)))</f>
        <v/>
      </c>
      <c r="G10" s="23">
        <f>IF(B10="","",IF(D10&gt;=E10,"Cumplido",IF(D10&gt;=ROUND(E10*Panel!$C$14,0),"En ritmo","Por debajo")))</f>
        <v/>
      </c>
      <c r="H10" s="14">
        <f>IF(B10="","",SUMIF(Lecturas!$C$7:$C$206,B10,Lecturas!$G$7:$G$206))</f>
        <v/>
      </c>
      <c r="I10" s="19">
        <f>IF(B10="","",IFERROR(ROUND(SUMIF(Lecturas!$C$7:$C$206,B10,Lecturas!$H$7:$H$206)/COUNTIFS(Lecturas!$C$7:$C$206,B10,Lecturas!$H$7:$H$206,"&gt;0"),1),""))</f>
        <v/>
      </c>
      <c r="J10" s="22">
        <f>IF(B10="","",INDEX(Panel!$F$10:$F$13,MATCH(D10,Panel!$G$10:$G$13,1)))</f>
        <v/>
      </c>
      <c r="K10" s="28">
        <f>IF(B10="","",IF(D10=0,"",SUMPRODUCT(MAX((Lecturas!$C$7:$C$206=B10)*Lecturas!$B$7:$B$206))))</f>
        <v/>
      </c>
      <c r="L10" s="29">
        <f>IF(B10="","",RANK(O10,$O$7:$O$46))</f>
        <v/>
      </c>
      <c r="M10" s="13" t="n">
        <v>3</v>
      </c>
      <c r="N10" s="12" t="inlineStr">
        <is>
          <t>Objetivo adaptado; refuerzo con lecturas cortas.</t>
        </is>
      </c>
      <c r="O10" s="30">
        <f>IF(B10="","",D10+H10/1000000+(1000-ROW())/10000000000)</f>
        <v/>
      </c>
    </row>
    <row r="11" ht="20" customHeight="1">
      <c r="B11" s="12" t="inlineStr">
        <is>
          <t>Irene Vidal</t>
        </is>
      </c>
      <c r="C11" s="27" t="inlineStr">
        <is>
          <t>1º ESO B</t>
        </is>
      </c>
      <c r="D11" s="14">
        <f>IF(B11="","",COUNTIF(Lecturas!$C$7:$C$206,B11))</f>
        <v/>
      </c>
      <c r="E11" s="14">
        <f>IF(B11="","",IF(M11&lt;&gt;"",M11,Panel!$C$13))</f>
        <v/>
      </c>
      <c r="F11" s="16">
        <f>IF(B11="","",IF(E11=0,0,MIN(1,D11/E11)))</f>
        <v/>
      </c>
      <c r="G11" s="23">
        <f>IF(B11="","",IF(D11&gt;=E11,"Cumplido",IF(D11&gt;=ROUND(E11*Panel!$C$14,0),"En ritmo","Por debajo")))</f>
        <v/>
      </c>
      <c r="H11" s="14">
        <f>IF(B11="","",SUMIF(Lecturas!$C$7:$C$206,B11,Lecturas!$G$7:$G$206))</f>
        <v/>
      </c>
      <c r="I11" s="19">
        <f>IF(B11="","",IFERROR(ROUND(SUMIF(Lecturas!$C$7:$C$206,B11,Lecturas!$H$7:$H$206)/COUNTIFS(Lecturas!$C$7:$C$206,B11,Lecturas!$H$7:$H$206,"&gt;0"),1),""))</f>
        <v/>
      </c>
      <c r="J11" s="22">
        <f>IF(B11="","",INDEX(Panel!$F$10:$F$13,MATCH(D11,Panel!$G$10:$G$13,1)))</f>
        <v/>
      </c>
      <c r="K11" s="28">
        <f>IF(B11="","",IF(D11=0,"",SUMPRODUCT(MAX((Lecturas!$C$7:$C$206=B11)*Lecturas!$B$7:$B$206))))</f>
        <v/>
      </c>
      <c r="L11" s="29">
        <f>IF(B11="","",RANK(O11,$O$7:$O$46))</f>
        <v/>
      </c>
      <c r="M11" s="13" t="n"/>
      <c r="N11" s="12" t="inlineStr">
        <is>
          <t>Recomienda libros al resto de la clase.</t>
        </is>
      </c>
      <c r="O11" s="30">
        <f>IF(B11="","",D11+H11/1000000+(1000-ROW())/10000000000)</f>
        <v/>
      </c>
    </row>
    <row r="12" ht="20" customHeight="1">
      <c r="B12" s="12" t="inlineStr">
        <is>
          <t>Álex Campos</t>
        </is>
      </c>
      <c r="C12" s="27" t="inlineStr">
        <is>
          <t>1º ESO B</t>
        </is>
      </c>
      <c r="D12" s="14">
        <f>IF(B12="","",COUNTIF(Lecturas!$C$7:$C$206,B12))</f>
        <v/>
      </c>
      <c r="E12" s="14">
        <f>IF(B12="","",IF(M12&lt;&gt;"",M12,Panel!$C$13))</f>
        <v/>
      </c>
      <c r="F12" s="16">
        <f>IF(B12="","",IF(E12=0,0,MIN(1,D12/E12)))</f>
        <v/>
      </c>
      <c r="G12" s="23">
        <f>IF(B12="","",IF(D12&gt;=E12,"Cumplido",IF(D12&gt;=ROUND(E12*Panel!$C$14,0),"En ritmo","Por debajo")))</f>
        <v/>
      </c>
      <c r="H12" s="14">
        <f>IF(B12="","",SUMIF(Lecturas!$C$7:$C$206,B12,Lecturas!$G$7:$G$206))</f>
        <v/>
      </c>
      <c r="I12" s="19">
        <f>IF(B12="","",IFERROR(ROUND(SUMIF(Lecturas!$C$7:$C$206,B12,Lecturas!$H$7:$H$206)/COUNTIFS(Lecturas!$C$7:$C$206,B12,Lecturas!$H$7:$H$206,"&gt;0"),1),""))</f>
        <v/>
      </c>
      <c r="J12" s="22">
        <f>IF(B12="","",INDEX(Panel!$F$10:$F$13,MATCH(D12,Panel!$G$10:$G$13,1)))</f>
        <v/>
      </c>
      <c r="K12" s="28">
        <f>IF(B12="","",IF(D12=0,"",SUMPRODUCT(MAX((Lecturas!$C$7:$C$206=B12)*Lecturas!$B$7:$B$206))))</f>
        <v/>
      </c>
      <c r="L12" s="29">
        <f>IF(B12="","",RANK(O12,$O$7:$O$46))</f>
        <v/>
      </c>
      <c r="M12" s="13" t="n"/>
      <c r="N12" s="12" t="n"/>
      <c r="O12" s="30">
        <f>IF(B12="","",D12+H12/1000000+(1000-ROW())/10000000000)</f>
        <v/>
      </c>
    </row>
    <row r="13" ht="20" customHeight="1">
      <c r="B13" s="12" t="inlineStr">
        <is>
          <t>Marta Ortega</t>
        </is>
      </c>
      <c r="C13" s="27" t="inlineStr">
        <is>
          <t>1º ESO B</t>
        </is>
      </c>
      <c r="D13" s="14">
        <f>IF(B13="","",COUNTIF(Lecturas!$C$7:$C$206,B13))</f>
        <v/>
      </c>
      <c r="E13" s="14">
        <f>IF(B13="","",IF(M13&lt;&gt;"",M13,Panel!$C$13))</f>
        <v/>
      </c>
      <c r="F13" s="16">
        <f>IF(B13="","",IF(E13=0,0,MIN(1,D13/E13)))</f>
        <v/>
      </c>
      <c r="G13" s="23">
        <f>IF(B13="","",IF(D13&gt;=E13,"Cumplido",IF(D13&gt;=ROUND(E13*Panel!$C$14,0),"En ritmo","Por debajo")))</f>
        <v/>
      </c>
      <c r="H13" s="14">
        <f>IF(B13="","",SUMIF(Lecturas!$C$7:$C$206,B13,Lecturas!$G$7:$G$206))</f>
        <v/>
      </c>
      <c r="I13" s="19">
        <f>IF(B13="","",IFERROR(ROUND(SUMIF(Lecturas!$C$7:$C$206,B13,Lecturas!$H$7:$H$206)/COUNTIFS(Lecturas!$C$7:$C$206,B13,Lecturas!$H$7:$H$206,"&gt;0"),1),""))</f>
        <v/>
      </c>
      <c r="J13" s="22">
        <f>IF(B13="","",INDEX(Panel!$F$10:$F$13,MATCH(D13,Panel!$G$10:$G$13,1)))</f>
        <v/>
      </c>
      <c r="K13" s="28">
        <f>IF(B13="","",IF(D13=0,"",SUMPRODUCT(MAX((Lecturas!$C$7:$C$206=B13)*Lecturas!$B$7:$B$206))))</f>
        <v/>
      </c>
      <c r="L13" s="29">
        <f>IF(B13="","",RANK(O13,$O$7:$O$46))</f>
        <v/>
      </c>
      <c r="M13" s="13" t="n"/>
      <c r="N13" s="12" t="n"/>
      <c r="O13" s="30">
        <f>IF(B13="","",D13+H13/1000000+(1000-ROW())/10000000000)</f>
        <v/>
      </c>
    </row>
    <row r="14" ht="20" customHeight="1">
      <c r="B14" s="12" t="inlineStr">
        <is>
          <t>Daniel Prieto</t>
        </is>
      </c>
      <c r="C14" s="27" t="inlineStr">
        <is>
          <t>1º ESO B</t>
        </is>
      </c>
      <c r="D14" s="14">
        <f>IF(B14="","",COUNTIF(Lecturas!$C$7:$C$206,B14))</f>
        <v/>
      </c>
      <c r="E14" s="14">
        <f>IF(B14="","",IF(M14&lt;&gt;"",M14,Panel!$C$13))</f>
        <v/>
      </c>
      <c r="F14" s="16">
        <f>IF(B14="","",IF(E14=0,0,MIN(1,D14/E14)))</f>
        <v/>
      </c>
      <c r="G14" s="23">
        <f>IF(B14="","",IF(D14&gt;=E14,"Cumplido",IF(D14&gt;=ROUND(E14*Panel!$C$14,0),"En ritmo","Por debajo")))</f>
        <v/>
      </c>
      <c r="H14" s="14">
        <f>IF(B14="","",SUMIF(Lecturas!$C$7:$C$206,B14,Lecturas!$G$7:$G$206))</f>
        <v/>
      </c>
      <c r="I14" s="19">
        <f>IF(B14="","",IFERROR(ROUND(SUMIF(Lecturas!$C$7:$C$206,B14,Lecturas!$H$7:$H$206)/COUNTIFS(Lecturas!$C$7:$C$206,B14,Lecturas!$H$7:$H$206,"&gt;0"),1),""))</f>
        <v/>
      </c>
      <c r="J14" s="22">
        <f>IF(B14="","",INDEX(Panel!$F$10:$F$13,MATCH(D14,Panel!$G$10:$G$13,1)))</f>
        <v/>
      </c>
      <c r="K14" s="28">
        <f>IF(B14="","",IF(D14=0,"",SUMPRODUCT(MAX((Lecturas!$C$7:$C$206=B14)*Lecturas!$B$7:$B$206))))</f>
        <v/>
      </c>
      <c r="L14" s="29">
        <f>IF(B14="","",RANK(O14,$O$7:$O$46))</f>
        <v/>
      </c>
      <c r="M14" s="13" t="n"/>
      <c r="N14" s="12" t="inlineStr">
        <is>
          <t>Pendiente de hablar con la familia.</t>
        </is>
      </c>
      <c r="O14" s="30">
        <f>IF(B14="","",D14+H14/1000000+(1000-ROW())/10000000000)</f>
        <v/>
      </c>
    </row>
    <row r="15" ht="20" customHeight="1">
      <c r="B15" s="12" t="inlineStr">
        <is>
          <t>Sofía Lozano</t>
        </is>
      </c>
      <c r="C15" s="27" t="inlineStr">
        <is>
          <t>2º ESO A</t>
        </is>
      </c>
      <c r="D15" s="14">
        <f>IF(B15="","",COUNTIF(Lecturas!$C$7:$C$206,B15))</f>
        <v/>
      </c>
      <c r="E15" s="14">
        <f>IF(B15="","",IF(M15&lt;&gt;"",M15,Panel!$C$13))</f>
        <v/>
      </c>
      <c r="F15" s="16">
        <f>IF(B15="","",IF(E15=0,0,MIN(1,D15/E15)))</f>
        <v/>
      </c>
      <c r="G15" s="23">
        <f>IF(B15="","",IF(D15&gt;=E15,"Cumplido",IF(D15&gt;=ROUND(E15*Panel!$C$14,0),"En ritmo","Por debajo")))</f>
        <v/>
      </c>
      <c r="H15" s="14">
        <f>IF(B15="","",SUMIF(Lecturas!$C$7:$C$206,B15,Lecturas!$G$7:$G$206))</f>
        <v/>
      </c>
      <c r="I15" s="19">
        <f>IF(B15="","",IFERROR(ROUND(SUMIF(Lecturas!$C$7:$C$206,B15,Lecturas!$H$7:$H$206)/COUNTIFS(Lecturas!$C$7:$C$206,B15,Lecturas!$H$7:$H$206,"&gt;0"),1),""))</f>
        <v/>
      </c>
      <c r="J15" s="22">
        <f>IF(B15="","",INDEX(Panel!$F$10:$F$13,MATCH(D15,Panel!$G$10:$G$13,1)))</f>
        <v/>
      </c>
      <c r="K15" s="28">
        <f>IF(B15="","",IF(D15=0,"",SUMPRODUCT(MAX((Lecturas!$C$7:$C$206=B15)*Lecturas!$B$7:$B$206))))</f>
        <v/>
      </c>
      <c r="L15" s="29">
        <f>IF(B15="","",RANK(O15,$O$7:$O$46))</f>
        <v/>
      </c>
      <c r="M15" s="13" t="n">
        <v>7</v>
      </c>
      <c r="N15" s="12" t="inlineStr">
        <is>
          <t>Reto ampliado a petición propia.</t>
        </is>
      </c>
      <c r="O15" s="30">
        <f>IF(B15="","",D15+H15/1000000+(1000-ROW())/10000000000)</f>
        <v/>
      </c>
    </row>
    <row r="16" ht="20" customHeight="1">
      <c r="B16" s="12" t="inlineStr">
        <is>
          <t>Mario Gil</t>
        </is>
      </c>
      <c r="C16" s="27" t="inlineStr">
        <is>
          <t>2º ESO A</t>
        </is>
      </c>
      <c r="D16" s="14">
        <f>IF(B16="","",COUNTIF(Lecturas!$C$7:$C$206,B16))</f>
        <v/>
      </c>
      <c r="E16" s="14">
        <f>IF(B16="","",IF(M16&lt;&gt;"",M16,Panel!$C$13))</f>
        <v/>
      </c>
      <c r="F16" s="16">
        <f>IF(B16="","",IF(E16=0,0,MIN(1,D16/E16)))</f>
        <v/>
      </c>
      <c r="G16" s="23">
        <f>IF(B16="","",IF(D16&gt;=E16,"Cumplido",IF(D16&gt;=ROUND(E16*Panel!$C$14,0),"En ritmo","Por debajo")))</f>
        <v/>
      </c>
      <c r="H16" s="14">
        <f>IF(B16="","",SUMIF(Lecturas!$C$7:$C$206,B16,Lecturas!$G$7:$G$206))</f>
        <v/>
      </c>
      <c r="I16" s="19">
        <f>IF(B16="","",IFERROR(ROUND(SUMIF(Lecturas!$C$7:$C$206,B16,Lecturas!$H$7:$H$206)/COUNTIFS(Lecturas!$C$7:$C$206,B16,Lecturas!$H$7:$H$206,"&gt;0"),1),""))</f>
        <v/>
      </c>
      <c r="J16" s="22">
        <f>IF(B16="","",INDEX(Panel!$F$10:$F$13,MATCH(D16,Panel!$G$10:$G$13,1)))</f>
        <v/>
      </c>
      <c r="K16" s="28">
        <f>IF(B16="","",IF(D16=0,"",SUMPRODUCT(MAX((Lecturas!$C$7:$C$206=B16)*Lecturas!$B$7:$B$206))))</f>
        <v/>
      </c>
      <c r="L16" s="29">
        <f>IF(B16="","",RANK(O16,$O$7:$O$46))</f>
        <v/>
      </c>
      <c r="M16" s="13" t="n"/>
      <c r="N16" s="12" t="n"/>
      <c r="O16" s="30">
        <f>IF(B16="","",D16+H16/1000000+(1000-ROW())/10000000000)</f>
        <v/>
      </c>
    </row>
    <row r="17" ht="20" customHeight="1">
      <c r="B17" s="12" t="inlineStr">
        <is>
          <t>Noa Herrero</t>
        </is>
      </c>
      <c r="C17" s="27" t="inlineStr">
        <is>
          <t>2º ESO A</t>
        </is>
      </c>
      <c r="D17" s="14">
        <f>IF(B17="","",COUNTIF(Lecturas!$C$7:$C$206,B17))</f>
        <v/>
      </c>
      <c r="E17" s="14">
        <f>IF(B17="","",IF(M17&lt;&gt;"",M17,Panel!$C$13))</f>
        <v/>
      </c>
      <c r="F17" s="16">
        <f>IF(B17="","",IF(E17=0,0,MIN(1,D17/E17)))</f>
        <v/>
      </c>
      <c r="G17" s="23">
        <f>IF(B17="","",IF(D17&gt;=E17,"Cumplido",IF(D17&gt;=ROUND(E17*Panel!$C$14,0),"En ritmo","Por debajo")))</f>
        <v/>
      </c>
      <c r="H17" s="14">
        <f>IF(B17="","",SUMIF(Lecturas!$C$7:$C$206,B17,Lecturas!$G$7:$G$206))</f>
        <v/>
      </c>
      <c r="I17" s="19">
        <f>IF(B17="","",IFERROR(ROUND(SUMIF(Lecturas!$C$7:$C$206,B17,Lecturas!$H$7:$H$206)/COUNTIFS(Lecturas!$C$7:$C$206,B17,Lecturas!$H$7:$H$206,"&gt;0"),1),""))</f>
        <v/>
      </c>
      <c r="J17" s="22">
        <f>IF(B17="","",INDEX(Panel!$F$10:$F$13,MATCH(D17,Panel!$G$10:$G$13,1)))</f>
        <v/>
      </c>
      <c r="K17" s="28">
        <f>IF(B17="","",IF(D17=0,"",SUMPRODUCT(MAX((Lecturas!$C$7:$C$206=B17)*Lecturas!$B$7:$B$206))))</f>
        <v/>
      </c>
      <c r="L17" s="29">
        <f>IF(B17="","",RANK(O17,$O$7:$O$46))</f>
        <v/>
      </c>
      <c r="M17" s="13" t="n">
        <v>4</v>
      </c>
      <c r="N17" s="12" t="inlineStr">
        <is>
          <t>Objetivo personal acordado en tutoría.</t>
        </is>
      </c>
      <c r="O17" s="30">
        <f>IF(B17="","",D17+H17/1000000+(1000-ROW())/10000000000)</f>
        <v/>
      </c>
    </row>
    <row r="18" ht="20" customHeight="1">
      <c r="B18" s="12" t="inlineStr">
        <is>
          <t>Adrián Cano</t>
        </is>
      </c>
      <c r="C18" s="27" t="inlineStr">
        <is>
          <t>2º ESO A</t>
        </is>
      </c>
      <c r="D18" s="14">
        <f>IF(B18="","",COUNTIF(Lecturas!$C$7:$C$206,B18))</f>
        <v/>
      </c>
      <c r="E18" s="14">
        <f>IF(B18="","",IF(M18&lt;&gt;"",M18,Panel!$C$13))</f>
        <v/>
      </c>
      <c r="F18" s="16">
        <f>IF(B18="","",IF(E18=0,0,MIN(1,D18/E18)))</f>
        <v/>
      </c>
      <c r="G18" s="23">
        <f>IF(B18="","",IF(D18&gt;=E18,"Cumplido",IF(D18&gt;=ROUND(E18*Panel!$C$14,0),"En ritmo","Por debajo")))</f>
        <v/>
      </c>
      <c r="H18" s="14">
        <f>IF(B18="","",SUMIF(Lecturas!$C$7:$C$206,B18,Lecturas!$G$7:$G$206))</f>
        <v/>
      </c>
      <c r="I18" s="19">
        <f>IF(B18="","",IFERROR(ROUND(SUMIF(Lecturas!$C$7:$C$206,B18,Lecturas!$H$7:$H$206)/COUNTIFS(Lecturas!$C$7:$C$206,B18,Lecturas!$H$7:$H$206,"&gt;0"),1),""))</f>
        <v/>
      </c>
      <c r="J18" s="22">
        <f>IF(B18="","",INDEX(Panel!$F$10:$F$13,MATCH(D18,Panel!$G$10:$G$13,1)))</f>
        <v/>
      </c>
      <c r="K18" s="28">
        <f>IF(B18="","",IF(D18=0,"",SUMPRODUCT(MAX((Lecturas!$C$7:$C$206=B18)*Lecturas!$B$7:$B$206))))</f>
        <v/>
      </c>
      <c r="L18" s="29">
        <f>IF(B18="","",RANK(O18,$O$7:$O$46))</f>
        <v/>
      </c>
      <c r="M18" s="13" t="n">
        <v>3</v>
      </c>
      <c r="N18" s="12" t="inlineStr">
        <is>
          <t>Objetivo adaptado.</t>
        </is>
      </c>
      <c r="O18" s="30">
        <f>IF(B18="","",D18+H18/1000000+(1000-ROW())/10000000000)</f>
        <v/>
      </c>
    </row>
    <row r="19" ht="20" customHeight="1">
      <c r="B19" s="12" t="n"/>
      <c r="C19" s="27" t="n"/>
      <c r="D19" s="14">
        <f>IF(B19="","",COUNTIF(Lecturas!$C$7:$C$206,B19))</f>
        <v/>
      </c>
      <c r="E19" s="14">
        <f>IF(B19="","",IF(M19&lt;&gt;"",M19,Panel!$C$13))</f>
        <v/>
      </c>
      <c r="F19" s="16">
        <f>IF(B19="","",IF(E19=0,0,MIN(1,D19/E19)))</f>
        <v/>
      </c>
      <c r="G19" s="23">
        <f>IF(B19="","",IF(D19&gt;=E19,"Cumplido",IF(D19&gt;=ROUND(E19*Panel!$C$14,0),"En ritmo","Por debajo")))</f>
        <v/>
      </c>
      <c r="H19" s="14">
        <f>IF(B19="","",SUMIF(Lecturas!$C$7:$C$206,B19,Lecturas!$G$7:$G$206))</f>
        <v/>
      </c>
      <c r="I19" s="19">
        <f>IF(B19="","",IFERROR(ROUND(SUMIF(Lecturas!$C$7:$C$206,B19,Lecturas!$H$7:$H$206)/COUNTIFS(Lecturas!$C$7:$C$206,B19,Lecturas!$H$7:$H$206,"&gt;0"),1),""))</f>
        <v/>
      </c>
      <c r="J19" s="22">
        <f>IF(B19="","",INDEX(Panel!$F$10:$F$13,MATCH(D19,Panel!$G$10:$G$13,1)))</f>
        <v/>
      </c>
      <c r="K19" s="28">
        <f>IF(B19="","",IF(D19=0,"",SUMPRODUCT(MAX((Lecturas!$C$7:$C$206=B19)*Lecturas!$B$7:$B$206))))</f>
        <v/>
      </c>
      <c r="L19" s="29">
        <f>IF(B19="","",RANK(O19,$O$7:$O$46))</f>
        <v/>
      </c>
      <c r="M19" s="13" t="n"/>
      <c r="N19" s="12" t="n"/>
      <c r="O19" s="30">
        <f>IF(B19="","",D19+H19/1000000+(1000-ROW())/10000000000)</f>
        <v/>
      </c>
    </row>
    <row r="20" ht="20" customHeight="1">
      <c r="B20" s="12" t="n"/>
      <c r="C20" s="27" t="n"/>
      <c r="D20" s="14">
        <f>IF(B20="","",COUNTIF(Lecturas!$C$7:$C$206,B20))</f>
        <v/>
      </c>
      <c r="E20" s="14">
        <f>IF(B20="","",IF(M20&lt;&gt;"",M20,Panel!$C$13))</f>
        <v/>
      </c>
      <c r="F20" s="16">
        <f>IF(B20="","",IF(E20=0,0,MIN(1,D20/E20)))</f>
        <v/>
      </c>
      <c r="G20" s="23">
        <f>IF(B20="","",IF(D20&gt;=E20,"Cumplido",IF(D20&gt;=ROUND(E20*Panel!$C$14,0),"En ritmo","Por debajo")))</f>
        <v/>
      </c>
      <c r="H20" s="14">
        <f>IF(B20="","",SUMIF(Lecturas!$C$7:$C$206,B20,Lecturas!$G$7:$G$206))</f>
        <v/>
      </c>
      <c r="I20" s="19">
        <f>IF(B20="","",IFERROR(ROUND(SUMIF(Lecturas!$C$7:$C$206,B20,Lecturas!$H$7:$H$206)/COUNTIFS(Lecturas!$C$7:$C$206,B20,Lecturas!$H$7:$H$206,"&gt;0"),1),""))</f>
        <v/>
      </c>
      <c r="J20" s="22">
        <f>IF(B20="","",INDEX(Panel!$F$10:$F$13,MATCH(D20,Panel!$G$10:$G$13,1)))</f>
        <v/>
      </c>
      <c r="K20" s="28">
        <f>IF(B20="","",IF(D20=0,"",SUMPRODUCT(MAX((Lecturas!$C$7:$C$206=B20)*Lecturas!$B$7:$B$206))))</f>
        <v/>
      </c>
      <c r="L20" s="29">
        <f>IF(B20="","",RANK(O20,$O$7:$O$46))</f>
        <v/>
      </c>
      <c r="M20" s="13" t="n"/>
      <c r="N20" s="12" t="n"/>
      <c r="O20" s="30">
        <f>IF(B20="","",D20+H20/1000000+(1000-ROW())/10000000000)</f>
        <v/>
      </c>
    </row>
    <row r="21" ht="20" customHeight="1">
      <c r="B21" s="12" t="n"/>
      <c r="C21" s="27" t="n"/>
      <c r="D21" s="14">
        <f>IF(B21="","",COUNTIF(Lecturas!$C$7:$C$206,B21))</f>
        <v/>
      </c>
      <c r="E21" s="14">
        <f>IF(B21="","",IF(M21&lt;&gt;"",M21,Panel!$C$13))</f>
        <v/>
      </c>
      <c r="F21" s="16">
        <f>IF(B21="","",IF(E21=0,0,MIN(1,D21/E21)))</f>
        <v/>
      </c>
      <c r="G21" s="23">
        <f>IF(B21="","",IF(D21&gt;=E21,"Cumplido",IF(D21&gt;=ROUND(E21*Panel!$C$14,0),"En ritmo","Por debajo")))</f>
        <v/>
      </c>
      <c r="H21" s="14">
        <f>IF(B21="","",SUMIF(Lecturas!$C$7:$C$206,B21,Lecturas!$G$7:$G$206))</f>
        <v/>
      </c>
      <c r="I21" s="19">
        <f>IF(B21="","",IFERROR(ROUND(SUMIF(Lecturas!$C$7:$C$206,B21,Lecturas!$H$7:$H$206)/COUNTIFS(Lecturas!$C$7:$C$206,B21,Lecturas!$H$7:$H$206,"&gt;0"),1),""))</f>
        <v/>
      </c>
      <c r="J21" s="22">
        <f>IF(B21="","",INDEX(Panel!$F$10:$F$13,MATCH(D21,Panel!$G$10:$G$13,1)))</f>
        <v/>
      </c>
      <c r="K21" s="28">
        <f>IF(B21="","",IF(D21=0,"",SUMPRODUCT(MAX((Lecturas!$C$7:$C$206=B21)*Lecturas!$B$7:$B$206))))</f>
        <v/>
      </c>
      <c r="L21" s="29">
        <f>IF(B21="","",RANK(O21,$O$7:$O$46))</f>
        <v/>
      </c>
      <c r="M21" s="13" t="n"/>
      <c r="N21" s="12" t="n"/>
      <c r="O21" s="30">
        <f>IF(B21="","",D21+H21/1000000+(1000-ROW())/10000000000)</f>
        <v/>
      </c>
    </row>
    <row r="22" ht="20" customHeight="1">
      <c r="B22" s="12" t="n"/>
      <c r="C22" s="27" t="n"/>
      <c r="D22" s="14">
        <f>IF(B22="","",COUNTIF(Lecturas!$C$7:$C$206,B22))</f>
        <v/>
      </c>
      <c r="E22" s="14">
        <f>IF(B22="","",IF(M22&lt;&gt;"",M22,Panel!$C$13))</f>
        <v/>
      </c>
      <c r="F22" s="16">
        <f>IF(B22="","",IF(E22=0,0,MIN(1,D22/E22)))</f>
        <v/>
      </c>
      <c r="G22" s="23">
        <f>IF(B22="","",IF(D22&gt;=E22,"Cumplido",IF(D22&gt;=ROUND(E22*Panel!$C$14,0),"En ritmo","Por debajo")))</f>
        <v/>
      </c>
      <c r="H22" s="14">
        <f>IF(B22="","",SUMIF(Lecturas!$C$7:$C$206,B22,Lecturas!$G$7:$G$206))</f>
        <v/>
      </c>
      <c r="I22" s="19">
        <f>IF(B22="","",IFERROR(ROUND(SUMIF(Lecturas!$C$7:$C$206,B22,Lecturas!$H$7:$H$206)/COUNTIFS(Lecturas!$C$7:$C$206,B22,Lecturas!$H$7:$H$206,"&gt;0"),1),""))</f>
        <v/>
      </c>
      <c r="J22" s="22">
        <f>IF(B22="","",INDEX(Panel!$F$10:$F$13,MATCH(D22,Panel!$G$10:$G$13,1)))</f>
        <v/>
      </c>
      <c r="K22" s="28">
        <f>IF(B22="","",IF(D22=0,"",SUMPRODUCT(MAX((Lecturas!$C$7:$C$206=B22)*Lecturas!$B$7:$B$206))))</f>
        <v/>
      </c>
      <c r="L22" s="29">
        <f>IF(B22="","",RANK(O22,$O$7:$O$46))</f>
        <v/>
      </c>
      <c r="M22" s="13" t="n"/>
      <c r="N22" s="12" t="n"/>
      <c r="O22" s="30">
        <f>IF(B22="","",D22+H22/1000000+(1000-ROW())/10000000000)</f>
        <v/>
      </c>
    </row>
    <row r="23" ht="20" customHeight="1">
      <c r="B23" s="12" t="n"/>
      <c r="C23" s="27" t="n"/>
      <c r="D23" s="14">
        <f>IF(B23="","",COUNTIF(Lecturas!$C$7:$C$206,B23))</f>
        <v/>
      </c>
      <c r="E23" s="14">
        <f>IF(B23="","",IF(M23&lt;&gt;"",M23,Panel!$C$13))</f>
        <v/>
      </c>
      <c r="F23" s="16">
        <f>IF(B23="","",IF(E23=0,0,MIN(1,D23/E23)))</f>
        <v/>
      </c>
      <c r="G23" s="23">
        <f>IF(B23="","",IF(D23&gt;=E23,"Cumplido",IF(D23&gt;=ROUND(E23*Panel!$C$14,0),"En ritmo","Por debajo")))</f>
        <v/>
      </c>
      <c r="H23" s="14">
        <f>IF(B23="","",SUMIF(Lecturas!$C$7:$C$206,B23,Lecturas!$G$7:$G$206))</f>
        <v/>
      </c>
      <c r="I23" s="19">
        <f>IF(B23="","",IFERROR(ROUND(SUMIF(Lecturas!$C$7:$C$206,B23,Lecturas!$H$7:$H$206)/COUNTIFS(Lecturas!$C$7:$C$206,B23,Lecturas!$H$7:$H$206,"&gt;0"),1),""))</f>
        <v/>
      </c>
      <c r="J23" s="22">
        <f>IF(B23="","",INDEX(Panel!$F$10:$F$13,MATCH(D23,Panel!$G$10:$G$13,1)))</f>
        <v/>
      </c>
      <c r="K23" s="28">
        <f>IF(B23="","",IF(D23=0,"",SUMPRODUCT(MAX((Lecturas!$C$7:$C$206=B23)*Lecturas!$B$7:$B$206))))</f>
        <v/>
      </c>
      <c r="L23" s="29">
        <f>IF(B23="","",RANK(O23,$O$7:$O$46))</f>
        <v/>
      </c>
      <c r="M23" s="13" t="n"/>
      <c r="N23" s="12" t="n"/>
      <c r="O23" s="30">
        <f>IF(B23="","",D23+H23/1000000+(1000-ROW())/10000000000)</f>
        <v/>
      </c>
    </row>
    <row r="24" ht="20" customHeight="1">
      <c r="B24" s="12" t="n"/>
      <c r="C24" s="27" t="n"/>
      <c r="D24" s="14">
        <f>IF(B24="","",COUNTIF(Lecturas!$C$7:$C$206,B24))</f>
        <v/>
      </c>
      <c r="E24" s="14">
        <f>IF(B24="","",IF(M24&lt;&gt;"",M24,Panel!$C$13))</f>
        <v/>
      </c>
      <c r="F24" s="16">
        <f>IF(B24="","",IF(E24=0,0,MIN(1,D24/E24)))</f>
        <v/>
      </c>
      <c r="G24" s="23">
        <f>IF(B24="","",IF(D24&gt;=E24,"Cumplido",IF(D24&gt;=ROUND(E24*Panel!$C$14,0),"En ritmo","Por debajo")))</f>
        <v/>
      </c>
      <c r="H24" s="14">
        <f>IF(B24="","",SUMIF(Lecturas!$C$7:$C$206,B24,Lecturas!$G$7:$G$206))</f>
        <v/>
      </c>
      <c r="I24" s="19">
        <f>IF(B24="","",IFERROR(ROUND(SUMIF(Lecturas!$C$7:$C$206,B24,Lecturas!$H$7:$H$206)/COUNTIFS(Lecturas!$C$7:$C$206,B24,Lecturas!$H$7:$H$206,"&gt;0"),1),""))</f>
        <v/>
      </c>
      <c r="J24" s="22">
        <f>IF(B24="","",INDEX(Panel!$F$10:$F$13,MATCH(D24,Panel!$G$10:$G$13,1)))</f>
        <v/>
      </c>
      <c r="K24" s="28">
        <f>IF(B24="","",IF(D24=0,"",SUMPRODUCT(MAX((Lecturas!$C$7:$C$206=B24)*Lecturas!$B$7:$B$206))))</f>
        <v/>
      </c>
      <c r="L24" s="29">
        <f>IF(B24="","",RANK(O24,$O$7:$O$46))</f>
        <v/>
      </c>
      <c r="M24" s="13" t="n"/>
      <c r="N24" s="12" t="n"/>
      <c r="O24" s="30">
        <f>IF(B24="","",D24+H24/1000000+(1000-ROW())/10000000000)</f>
        <v/>
      </c>
    </row>
    <row r="25" ht="20" customHeight="1">
      <c r="B25" s="12" t="n"/>
      <c r="C25" s="27" t="n"/>
      <c r="D25" s="14">
        <f>IF(B25="","",COUNTIF(Lecturas!$C$7:$C$206,B25))</f>
        <v/>
      </c>
      <c r="E25" s="14">
        <f>IF(B25="","",IF(M25&lt;&gt;"",M25,Panel!$C$13))</f>
        <v/>
      </c>
      <c r="F25" s="16">
        <f>IF(B25="","",IF(E25=0,0,MIN(1,D25/E25)))</f>
        <v/>
      </c>
      <c r="G25" s="23">
        <f>IF(B25="","",IF(D25&gt;=E25,"Cumplido",IF(D25&gt;=ROUND(E25*Panel!$C$14,0),"En ritmo","Por debajo")))</f>
        <v/>
      </c>
      <c r="H25" s="14">
        <f>IF(B25="","",SUMIF(Lecturas!$C$7:$C$206,B25,Lecturas!$G$7:$G$206))</f>
        <v/>
      </c>
      <c r="I25" s="19">
        <f>IF(B25="","",IFERROR(ROUND(SUMIF(Lecturas!$C$7:$C$206,B25,Lecturas!$H$7:$H$206)/COUNTIFS(Lecturas!$C$7:$C$206,B25,Lecturas!$H$7:$H$206,"&gt;0"),1),""))</f>
        <v/>
      </c>
      <c r="J25" s="22">
        <f>IF(B25="","",INDEX(Panel!$F$10:$F$13,MATCH(D25,Panel!$G$10:$G$13,1)))</f>
        <v/>
      </c>
      <c r="K25" s="28">
        <f>IF(B25="","",IF(D25=0,"",SUMPRODUCT(MAX((Lecturas!$C$7:$C$206=B25)*Lecturas!$B$7:$B$206))))</f>
        <v/>
      </c>
      <c r="L25" s="29">
        <f>IF(B25="","",RANK(O25,$O$7:$O$46))</f>
        <v/>
      </c>
      <c r="M25" s="13" t="n"/>
      <c r="N25" s="12" t="n"/>
      <c r="O25" s="30">
        <f>IF(B25="","",D25+H25/1000000+(1000-ROW())/10000000000)</f>
        <v/>
      </c>
    </row>
    <row r="26" ht="20" customHeight="1">
      <c r="B26" s="12" t="n"/>
      <c r="C26" s="27" t="n"/>
      <c r="D26" s="14">
        <f>IF(B26="","",COUNTIF(Lecturas!$C$7:$C$206,B26))</f>
        <v/>
      </c>
      <c r="E26" s="14">
        <f>IF(B26="","",IF(M26&lt;&gt;"",M26,Panel!$C$13))</f>
        <v/>
      </c>
      <c r="F26" s="16">
        <f>IF(B26="","",IF(E26=0,0,MIN(1,D26/E26)))</f>
        <v/>
      </c>
      <c r="G26" s="23">
        <f>IF(B26="","",IF(D26&gt;=E26,"Cumplido",IF(D26&gt;=ROUND(E26*Panel!$C$14,0),"En ritmo","Por debajo")))</f>
        <v/>
      </c>
      <c r="H26" s="14">
        <f>IF(B26="","",SUMIF(Lecturas!$C$7:$C$206,B26,Lecturas!$G$7:$G$206))</f>
        <v/>
      </c>
      <c r="I26" s="19">
        <f>IF(B26="","",IFERROR(ROUND(SUMIF(Lecturas!$C$7:$C$206,B26,Lecturas!$H$7:$H$206)/COUNTIFS(Lecturas!$C$7:$C$206,B26,Lecturas!$H$7:$H$206,"&gt;0"),1),""))</f>
        <v/>
      </c>
      <c r="J26" s="22">
        <f>IF(B26="","",INDEX(Panel!$F$10:$F$13,MATCH(D26,Panel!$G$10:$G$13,1)))</f>
        <v/>
      </c>
      <c r="K26" s="28">
        <f>IF(B26="","",IF(D26=0,"",SUMPRODUCT(MAX((Lecturas!$C$7:$C$206=B26)*Lecturas!$B$7:$B$206))))</f>
        <v/>
      </c>
      <c r="L26" s="29">
        <f>IF(B26="","",RANK(O26,$O$7:$O$46))</f>
        <v/>
      </c>
      <c r="M26" s="13" t="n"/>
      <c r="N26" s="12" t="n"/>
      <c r="O26" s="30">
        <f>IF(B26="","",D26+H26/1000000+(1000-ROW())/10000000000)</f>
        <v/>
      </c>
    </row>
    <row r="27" ht="20" customHeight="1">
      <c r="B27" s="12" t="n"/>
      <c r="C27" s="27" t="n"/>
      <c r="D27" s="14">
        <f>IF(B27="","",COUNTIF(Lecturas!$C$7:$C$206,B27))</f>
        <v/>
      </c>
      <c r="E27" s="14">
        <f>IF(B27="","",IF(M27&lt;&gt;"",M27,Panel!$C$13))</f>
        <v/>
      </c>
      <c r="F27" s="16">
        <f>IF(B27="","",IF(E27=0,0,MIN(1,D27/E27)))</f>
        <v/>
      </c>
      <c r="G27" s="23">
        <f>IF(B27="","",IF(D27&gt;=E27,"Cumplido",IF(D27&gt;=ROUND(E27*Panel!$C$14,0),"En ritmo","Por debajo")))</f>
        <v/>
      </c>
      <c r="H27" s="14">
        <f>IF(B27="","",SUMIF(Lecturas!$C$7:$C$206,B27,Lecturas!$G$7:$G$206))</f>
        <v/>
      </c>
      <c r="I27" s="19">
        <f>IF(B27="","",IFERROR(ROUND(SUMIF(Lecturas!$C$7:$C$206,B27,Lecturas!$H$7:$H$206)/COUNTIFS(Lecturas!$C$7:$C$206,B27,Lecturas!$H$7:$H$206,"&gt;0"),1),""))</f>
        <v/>
      </c>
      <c r="J27" s="22">
        <f>IF(B27="","",INDEX(Panel!$F$10:$F$13,MATCH(D27,Panel!$G$10:$G$13,1)))</f>
        <v/>
      </c>
      <c r="K27" s="28">
        <f>IF(B27="","",IF(D27=0,"",SUMPRODUCT(MAX((Lecturas!$C$7:$C$206=B27)*Lecturas!$B$7:$B$206))))</f>
        <v/>
      </c>
      <c r="L27" s="29">
        <f>IF(B27="","",RANK(O27,$O$7:$O$46))</f>
        <v/>
      </c>
      <c r="M27" s="13" t="n"/>
      <c r="N27" s="12" t="n"/>
      <c r="O27" s="30">
        <f>IF(B27="","",D27+H27/1000000+(1000-ROW())/10000000000)</f>
        <v/>
      </c>
    </row>
    <row r="28" ht="20" customHeight="1">
      <c r="B28" s="12" t="n"/>
      <c r="C28" s="27" t="n"/>
      <c r="D28" s="14">
        <f>IF(B28="","",COUNTIF(Lecturas!$C$7:$C$206,B28))</f>
        <v/>
      </c>
      <c r="E28" s="14">
        <f>IF(B28="","",IF(M28&lt;&gt;"",M28,Panel!$C$13))</f>
        <v/>
      </c>
      <c r="F28" s="16">
        <f>IF(B28="","",IF(E28=0,0,MIN(1,D28/E28)))</f>
        <v/>
      </c>
      <c r="G28" s="23">
        <f>IF(B28="","",IF(D28&gt;=E28,"Cumplido",IF(D28&gt;=ROUND(E28*Panel!$C$14,0),"En ritmo","Por debajo")))</f>
        <v/>
      </c>
      <c r="H28" s="14">
        <f>IF(B28="","",SUMIF(Lecturas!$C$7:$C$206,B28,Lecturas!$G$7:$G$206))</f>
        <v/>
      </c>
      <c r="I28" s="19">
        <f>IF(B28="","",IFERROR(ROUND(SUMIF(Lecturas!$C$7:$C$206,B28,Lecturas!$H$7:$H$206)/COUNTIFS(Lecturas!$C$7:$C$206,B28,Lecturas!$H$7:$H$206,"&gt;0"),1),""))</f>
        <v/>
      </c>
      <c r="J28" s="22">
        <f>IF(B28="","",INDEX(Panel!$F$10:$F$13,MATCH(D28,Panel!$G$10:$G$13,1)))</f>
        <v/>
      </c>
      <c r="K28" s="28">
        <f>IF(B28="","",IF(D28=0,"",SUMPRODUCT(MAX((Lecturas!$C$7:$C$206=B28)*Lecturas!$B$7:$B$206))))</f>
        <v/>
      </c>
      <c r="L28" s="29">
        <f>IF(B28="","",RANK(O28,$O$7:$O$46))</f>
        <v/>
      </c>
      <c r="M28" s="13" t="n"/>
      <c r="N28" s="12" t="n"/>
      <c r="O28" s="30">
        <f>IF(B28="","",D28+H28/1000000+(1000-ROW())/10000000000)</f>
        <v/>
      </c>
    </row>
    <row r="29" ht="20" customHeight="1">
      <c r="B29" s="12" t="n"/>
      <c r="C29" s="27" t="n"/>
      <c r="D29" s="14">
        <f>IF(B29="","",COUNTIF(Lecturas!$C$7:$C$206,B29))</f>
        <v/>
      </c>
      <c r="E29" s="14">
        <f>IF(B29="","",IF(M29&lt;&gt;"",M29,Panel!$C$13))</f>
        <v/>
      </c>
      <c r="F29" s="16">
        <f>IF(B29="","",IF(E29=0,0,MIN(1,D29/E29)))</f>
        <v/>
      </c>
      <c r="G29" s="23">
        <f>IF(B29="","",IF(D29&gt;=E29,"Cumplido",IF(D29&gt;=ROUND(E29*Panel!$C$14,0),"En ritmo","Por debajo")))</f>
        <v/>
      </c>
      <c r="H29" s="14">
        <f>IF(B29="","",SUMIF(Lecturas!$C$7:$C$206,B29,Lecturas!$G$7:$G$206))</f>
        <v/>
      </c>
      <c r="I29" s="19">
        <f>IF(B29="","",IFERROR(ROUND(SUMIF(Lecturas!$C$7:$C$206,B29,Lecturas!$H$7:$H$206)/COUNTIFS(Lecturas!$C$7:$C$206,B29,Lecturas!$H$7:$H$206,"&gt;0"),1),""))</f>
        <v/>
      </c>
      <c r="J29" s="22">
        <f>IF(B29="","",INDEX(Panel!$F$10:$F$13,MATCH(D29,Panel!$G$10:$G$13,1)))</f>
        <v/>
      </c>
      <c r="K29" s="28">
        <f>IF(B29="","",IF(D29=0,"",SUMPRODUCT(MAX((Lecturas!$C$7:$C$206=B29)*Lecturas!$B$7:$B$206))))</f>
        <v/>
      </c>
      <c r="L29" s="29">
        <f>IF(B29="","",RANK(O29,$O$7:$O$46))</f>
        <v/>
      </c>
      <c r="M29" s="13" t="n"/>
      <c r="N29" s="12" t="n"/>
      <c r="O29" s="30">
        <f>IF(B29="","",D29+H29/1000000+(1000-ROW())/10000000000)</f>
        <v/>
      </c>
    </row>
    <row r="30" ht="20" customHeight="1">
      <c r="B30" s="12" t="n"/>
      <c r="C30" s="27" t="n"/>
      <c r="D30" s="14">
        <f>IF(B30="","",COUNTIF(Lecturas!$C$7:$C$206,B30))</f>
        <v/>
      </c>
      <c r="E30" s="14">
        <f>IF(B30="","",IF(M30&lt;&gt;"",M30,Panel!$C$13))</f>
        <v/>
      </c>
      <c r="F30" s="16">
        <f>IF(B30="","",IF(E30=0,0,MIN(1,D30/E30)))</f>
        <v/>
      </c>
      <c r="G30" s="23">
        <f>IF(B30="","",IF(D30&gt;=E30,"Cumplido",IF(D30&gt;=ROUND(E30*Panel!$C$14,0),"En ritmo","Por debajo")))</f>
        <v/>
      </c>
      <c r="H30" s="14">
        <f>IF(B30="","",SUMIF(Lecturas!$C$7:$C$206,B30,Lecturas!$G$7:$G$206))</f>
        <v/>
      </c>
      <c r="I30" s="19">
        <f>IF(B30="","",IFERROR(ROUND(SUMIF(Lecturas!$C$7:$C$206,B30,Lecturas!$H$7:$H$206)/COUNTIFS(Lecturas!$C$7:$C$206,B30,Lecturas!$H$7:$H$206,"&gt;0"),1),""))</f>
        <v/>
      </c>
      <c r="J30" s="22">
        <f>IF(B30="","",INDEX(Panel!$F$10:$F$13,MATCH(D30,Panel!$G$10:$G$13,1)))</f>
        <v/>
      </c>
      <c r="K30" s="28">
        <f>IF(B30="","",IF(D30=0,"",SUMPRODUCT(MAX((Lecturas!$C$7:$C$206=B30)*Lecturas!$B$7:$B$206))))</f>
        <v/>
      </c>
      <c r="L30" s="29">
        <f>IF(B30="","",RANK(O30,$O$7:$O$46))</f>
        <v/>
      </c>
      <c r="M30" s="13" t="n"/>
      <c r="N30" s="12" t="n"/>
      <c r="O30" s="30">
        <f>IF(B30="","",D30+H30/1000000+(1000-ROW())/10000000000)</f>
        <v/>
      </c>
    </row>
    <row r="31" ht="20" customHeight="1">
      <c r="B31" s="12" t="n"/>
      <c r="C31" s="27" t="n"/>
      <c r="D31" s="14">
        <f>IF(B31="","",COUNTIF(Lecturas!$C$7:$C$206,B31))</f>
        <v/>
      </c>
      <c r="E31" s="14">
        <f>IF(B31="","",IF(M31&lt;&gt;"",M31,Panel!$C$13))</f>
        <v/>
      </c>
      <c r="F31" s="16">
        <f>IF(B31="","",IF(E31=0,0,MIN(1,D31/E31)))</f>
        <v/>
      </c>
      <c r="G31" s="23">
        <f>IF(B31="","",IF(D31&gt;=E31,"Cumplido",IF(D31&gt;=ROUND(E31*Panel!$C$14,0),"En ritmo","Por debajo")))</f>
        <v/>
      </c>
      <c r="H31" s="14">
        <f>IF(B31="","",SUMIF(Lecturas!$C$7:$C$206,B31,Lecturas!$G$7:$G$206))</f>
        <v/>
      </c>
      <c r="I31" s="19">
        <f>IF(B31="","",IFERROR(ROUND(SUMIF(Lecturas!$C$7:$C$206,B31,Lecturas!$H$7:$H$206)/COUNTIFS(Lecturas!$C$7:$C$206,B31,Lecturas!$H$7:$H$206,"&gt;0"),1),""))</f>
        <v/>
      </c>
      <c r="J31" s="22">
        <f>IF(B31="","",INDEX(Panel!$F$10:$F$13,MATCH(D31,Panel!$G$10:$G$13,1)))</f>
        <v/>
      </c>
      <c r="K31" s="28">
        <f>IF(B31="","",IF(D31=0,"",SUMPRODUCT(MAX((Lecturas!$C$7:$C$206=B31)*Lecturas!$B$7:$B$206))))</f>
        <v/>
      </c>
      <c r="L31" s="29">
        <f>IF(B31="","",RANK(O31,$O$7:$O$46))</f>
        <v/>
      </c>
      <c r="M31" s="13" t="n"/>
      <c r="N31" s="12" t="n"/>
      <c r="O31" s="30">
        <f>IF(B31="","",D31+H31/1000000+(1000-ROW())/10000000000)</f>
        <v/>
      </c>
    </row>
    <row r="32" ht="20" customHeight="1">
      <c r="B32" s="12" t="n"/>
      <c r="C32" s="27" t="n"/>
      <c r="D32" s="14">
        <f>IF(B32="","",COUNTIF(Lecturas!$C$7:$C$206,B32))</f>
        <v/>
      </c>
      <c r="E32" s="14">
        <f>IF(B32="","",IF(M32&lt;&gt;"",M32,Panel!$C$13))</f>
        <v/>
      </c>
      <c r="F32" s="16">
        <f>IF(B32="","",IF(E32=0,0,MIN(1,D32/E32)))</f>
        <v/>
      </c>
      <c r="G32" s="23">
        <f>IF(B32="","",IF(D32&gt;=E32,"Cumplido",IF(D32&gt;=ROUND(E32*Panel!$C$14,0),"En ritmo","Por debajo")))</f>
        <v/>
      </c>
      <c r="H32" s="14">
        <f>IF(B32="","",SUMIF(Lecturas!$C$7:$C$206,B32,Lecturas!$G$7:$G$206))</f>
        <v/>
      </c>
      <c r="I32" s="19">
        <f>IF(B32="","",IFERROR(ROUND(SUMIF(Lecturas!$C$7:$C$206,B32,Lecturas!$H$7:$H$206)/COUNTIFS(Lecturas!$C$7:$C$206,B32,Lecturas!$H$7:$H$206,"&gt;0"),1),""))</f>
        <v/>
      </c>
      <c r="J32" s="22">
        <f>IF(B32="","",INDEX(Panel!$F$10:$F$13,MATCH(D32,Panel!$G$10:$G$13,1)))</f>
        <v/>
      </c>
      <c r="K32" s="28">
        <f>IF(B32="","",IF(D32=0,"",SUMPRODUCT(MAX((Lecturas!$C$7:$C$206=B32)*Lecturas!$B$7:$B$206))))</f>
        <v/>
      </c>
      <c r="L32" s="29">
        <f>IF(B32="","",RANK(O32,$O$7:$O$46))</f>
        <v/>
      </c>
      <c r="M32" s="13" t="n"/>
      <c r="N32" s="12" t="n"/>
      <c r="O32" s="30">
        <f>IF(B32="","",D32+H32/1000000+(1000-ROW())/10000000000)</f>
        <v/>
      </c>
    </row>
    <row r="33" ht="20" customHeight="1">
      <c r="B33" s="12" t="n"/>
      <c r="C33" s="27" t="n"/>
      <c r="D33" s="14">
        <f>IF(B33="","",COUNTIF(Lecturas!$C$7:$C$206,B33))</f>
        <v/>
      </c>
      <c r="E33" s="14">
        <f>IF(B33="","",IF(M33&lt;&gt;"",M33,Panel!$C$13))</f>
        <v/>
      </c>
      <c r="F33" s="16">
        <f>IF(B33="","",IF(E33=0,0,MIN(1,D33/E33)))</f>
        <v/>
      </c>
      <c r="G33" s="23">
        <f>IF(B33="","",IF(D33&gt;=E33,"Cumplido",IF(D33&gt;=ROUND(E33*Panel!$C$14,0),"En ritmo","Por debajo")))</f>
        <v/>
      </c>
      <c r="H33" s="14">
        <f>IF(B33="","",SUMIF(Lecturas!$C$7:$C$206,B33,Lecturas!$G$7:$G$206))</f>
        <v/>
      </c>
      <c r="I33" s="19">
        <f>IF(B33="","",IFERROR(ROUND(SUMIF(Lecturas!$C$7:$C$206,B33,Lecturas!$H$7:$H$206)/COUNTIFS(Lecturas!$C$7:$C$206,B33,Lecturas!$H$7:$H$206,"&gt;0"),1),""))</f>
        <v/>
      </c>
      <c r="J33" s="22">
        <f>IF(B33="","",INDEX(Panel!$F$10:$F$13,MATCH(D33,Panel!$G$10:$G$13,1)))</f>
        <v/>
      </c>
      <c r="K33" s="28">
        <f>IF(B33="","",IF(D33=0,"",SUMPRODUCT(MAX((Lecturas!$C$7:$C$206=B33)*Lecturas!$B$7:$B$206))))</f>
        <v/>
      </c>
      <c r="L33" s="29">
        <f>IF(B33="","",RANK(O33,$O$7:$O$46))</f>
        <v/>
      </c>
      <c r="M33" s="13" t="n"/>
      <c r="N33" s="12" t="n"/>
      <c r="O33" s="30">
        <f>IF(B33="","",D33+H33/1000000+(1000-ROW())/10000000000)</f>
        <v/>
      </c>
    </row>
    <row r="34" ht="20" customHeight="1">
      <c r="B34" s="12" t="n"/>
      <c r="C34" s="27" t="n"/>
      <c r="D34" s="14">
        <f>IF(B34="","",COUNTIF(Lecturas!$C$7:$C$206,B34))</f>
        <v/>
      </c>
      <c r="E34" s="14">
        <f>IF(B34="","",IF(M34&lt;&gt;"",M34,Panel!$C$13))</f>
        <v/>
      </c>
      <c r="F34" s="16">
        <f>IF(B34="","",IF(E34=0,0,MIN(1,D34/E34)))</f>
        <v/>
      </c>
      <c r="G34" s="23">
        <f>IF(B34="","",IF(D34&gt;=E34,"Cumplido",IF(D34&gt;=ROUND(E34*Panel!$C$14,0),"En ritmo","Por debajo")))</f>
        <v/>
      </c>
      <c r="H34" s="14">
        <f>IF(B34="","",SUMIF(Lecturas!$C$7:$C$206,B34,Lecturas!$G$7:$G$206))</f>
        <v/>
      </c>
      <c r="I34" s="19">
        <f>IF(B34="","",IFERROR(ROUND(SUMIF(Lecturas!$C$7:$C$206,B34,Lecturas!$H$7:$H$206)/COUNTIFS(Lecturas!$C$7:$C$206,B34,Lecturas!$H$7:$H$206,"&gt;0"),1),""))</f>
        <v/>
      </c>
      <c r="J34" s="22">
        <f>IF(B34="","",INDEX(Panel!$F$10:$F$13,MATCH(D34,Panel!$G$10:$G$13,1)))</f>
        <v/>
      </c>
      <c r="K34" s="28">
        <f>IF(B34="","",IF(D34=0,"",SUMPRODUCT(MAX((Lecturas!$C$7:$C$206=B34)*Lecturas!$B$7:$B$206))))</f>
        <v/>
      </c>
      <c r="L34" s="29">
        <f>IF(B34="","",RANK(O34,$O$7:$O$46))</f>
        <v/>
      </c>
      <c r="M34" s="13" t="n"/>
      <c r="N34" s="12" t="n"/>
      <c r="O34" s="30">
        <f>IF(B34="","",D34+H34/1000000+(1000-ROW())/10000000000)</f>
        <v/>
      </c>
    </row>
    <row r="35" ht="20" customHeight="1">
      <c r="B35" s="12" t="n"/>
      <c r="C35" s="27" t="n"/>
      <c r="D35" s="14">
        <f>IF(B35="","",COUNTIF(Lecturas!$C$7:$C$206,B35))</f>
        <v/>
      </c>
      <c r="E35" s="14">
        <f>IF(B35="","",IF(M35&lt;&gt;"",M35,Panel!$C$13))</f>
        <v/>
      </c>
      <c r="F35" s="16">
        <f>IF(B35="","",IF(E35=0,0,MIN(1,D35/E35)))</f>
        <v/>
      </c>
      <c r="G35" s="23">
        <f>IF(B35="","",IF(D35&gt;=E35,"Cumplido",IF(D35&gt;=ROUND(E35*Panel!$C$14,0),"En ritmo","Por debajo")))</f>
        <v/>
      </c>
      <c r="H35" s="14">
        <f>IF(B35="","",SUMIF(Lecturas!$C$7:$C$206,B35,Lecturas!$G$7:$G$206))</f>
        <v/>
      </c>
      <c r="I35" s="19">
        <f>IF(B35="","",IFERROR(ROUND(SUMIF(Lecturas!$C$7:$C$206,B35,Lecturas!$H$7:$H$206)/COUNTIFS(Lecturas!$C$7:$C$206,B35,Lecturas!$H$7:$H$206,"&gt;0"),1),""))</f>
        <v/>
      </c>
      <c r="J35" s="22">
        <f>IF(B35="","",INDEX(Panel!$F$10:$F$13,MATCH(D35,Panel!$G$10:$G$13,1)))</f>
        <v/>
      </c>
      <c r="K35" s="28">
        <f>IF(B35="","",IF(D35=0,"",SUMPRODUCT(MAX((Lecturas!$C$7:$C$206=B35)*Lecturas!$B$7:$B$206))))</f>
        <v/>
      </c>
      <c r="L35" s="29">
        <f>IF(B35="","",RANK(O35,$O$7:$O$46))</f>
        <v/>
      </c>
      <c r="M35" s="13" t="n"/>
      <c r="N35" s="12" t="n"/>
      <c r="O35" s="30">
        <f>IF(B35="","",D35+H35/1000000+(1000-ROW())/10000000000)</f>
        <v/>
      </c>
    </row>
    <row r="36" ht="20" customHeight="1">
      <c r="B36" s="12" t="n"/>
      <c r="C36" s="27" t="n"/>
      <c r="D36" s="14">
        <f>IF(B36="","",COUNTIF(Lecturas!$C$7:$C$206,B36))</f>
        <v/>
      </c>
      <c r="E36" s="14">
        <f>IF(B36="","",IF(M36&lt;&gt;"",M36,Panel!$C$13))</f>
        <v/>
      </c>
      <c r="F36" s="16">
        <f>IF(B36="","",IF(E36=0,0,MIN(1,D36/E36)))</f>
        <v/>
      </c>
      <c r="G36" s="23">
        <f>IF(B36="","",IF(D36&gt;=E36,"Cumplido",IF(D36&gt;=ROUND(E36*Panel!$C$14,0),"En ritmo","Por debajo")))</f>
        <v/>
      </c>
      <c r="H36" s="14">
        <f>IF(B36="","",SUMIF(Lecturas!$C$7:$C$206,B36,Lecturas!$G$7:$G$206))</f>
        <v/>
      </c>
      <c r="I36" s="19">
        <f>IF(B36="","",IFERROR(ROUND(SUMIF(Lecturas!$C$7:$C$206,B36,Lecturas!$H$7:$H$206)/COUNTIFS(Lecturas!$C$7:$C$206,B36,Lecturas!$H$7:$H$206,"&gt;0"),1),""))</f>
        <v/>
      </c>
      <c r="J36" s="22">
        <f>IF(B36="","",INDEX(Panel!$F$10:$F$13,MATCH(D36,Panel!$G$10:$G$13,1)))</f>
        <v/>
      </c>
      <c r="K36" s="28">
        <f>IF(B36="","",IF(D36=0,"",SUMPRODUCT(MAX((Lecturas!$C$7:$C$206=B36)*Lecturas!$B$7:$B$206))))</f>
        <v/>
      </c>
      <c r="L36" s="29">
        <f>IF(B36="","",RANK(O36,$O$7:$O$46))</f>
        <v/>
      </c>
      <c r="M36" s="13" t="n"/>
      <c r="N36" s="12" t="n"/>
      <c r="O36" s="30">
        <f>IF(B36="","",D36+H36/1000000+(1000-ROW())/10000000000)</f>
        <v/>
      </c>
    </row>
    <row r="37" ht="20" customHeight="1">
      <c r="B37" s="12" t="n"/>
      <c r="C37" s="27" t="n"/>
      <c r="D37" s="14">
        <f>IF(B37="","",COUNTIF(Lecturas!$C$7:$C$206,B37))</f>
        <v/>
      </c>
      <c r="E37" s="14">
        <f>IF(B37="","",IF(M37&lt;&gt;"",M37,Panel!$C$13))</f>
        <v/>
      </c>
      <c r="F37" s="16">
        <f>IF(B37="","",IF(E37=0,0,MIN(1,D37/E37)))</f>
        <v/>
      </c>
      <c r="G37" s="23">
        <f>IF(B37="","",IF(D37&gt;=E37,"Cumplido",IF(D37&gt;=ROUND(E37*Panel!$C$14,0),"En ritmo","Por debajo")))</f>
        <v/>
      </c>
      <c r="H37" s="14">
        <f>IF(B37="","",SUMIF(Lecturas!$C$7:$C$206,B37,Lecturas!$G$7:$G$206))</f>
        <v/>
      </c>
      <c r="I37" s="19">
        <f>IF(B37="","",IFERROR(ROUND(SUMIF(Lecturas!$C$7:$C$206,B37,Lecturas!$H$7:$H$206)/COUNTIFS(Lecturas!$C$7:$C$206,B37,Lecturas!$H$7:$H$206,"&gt;0"),1),""))</f>
        <v/>
      </c>
      <c r="J37" s="22">
        <f>IF(B37="","",INDEX(Panel!$F$10:$F$13,MATCH(D37,Panel!$G$10:$G$13,1)))</f>
        <v/>
      </c>
      <c r="K37" s="28">
        <f>IF(B37="","",IF(D37=0,"",SUMPRODUCT(MAX((Lecturas!$C$7:$C$206=B37)*Lecturas!$B$7:$B$206))))</f>
        <v/>
      </c>
      <c r="L37" s="29">
        <f>IF(B37="","",RANK(O37,$O$7:$O$46))</f>
        <v/>
      </c>
      <c r="M37" s="13" t="n"/>
      <c r="N37" s="12" t="n"/>
      <c r="O37" s="30">
        <f>IF(B37="","",D37+H37/1000000+(1000-ROW())/10000000000)</f>
        <v/>
      </c>
    </row>
    <row r="38" ht="20" customHeight="1">
      <c r="B38" s="12" t="n"/>
      <c r="C38" s="27" t="n"/>
      <c r="D38" s="14">
        <f>IF(B38="","",COUNTIF(Lecturas!$C$7:$C$206,B38))</f>
        <v/>
      </c>
      <c r="E38" s="14">
        <f>IF(B38="","",IF(M38&lt;&gt;"",M38,Panel!$C$13))</f>
        <v/>
      </c>
      <c r="F38" s="16">
        <f>IF(B38="","",IF(E38=0,0,MIN(1,D38/E38)))</f>
        <v/>
      </c>
      <c r="G38" s="23">
        <f>IF(B38="","",IF(D38&gt;=E38,"Cumplido",IF(D38&gt;=ROUND(E38*Panel!$C$14,0),"En ritmo","Por debajo")))</f>
        <v/>
      </c>
      <c r="H38" s="14">
        <f>IF(B38="","",SUMIF(Lecturas!$C$7:$C$206,B38,Lecturas!$G$7:$G$206))</f>
        <v/>
      </c>
      <c r="I38" s="19">
        <f>IF(B38="","",IFERROR(ROUND(SUMIF(Lecturas!$C$7:$C$206,B38,Lecturas!$H$7:$H$206)/COUNTIFS(Lecturas!$C$7:$C$206,B38,Lecturas!$H$7:$H$206,"&gt;0"),1),""))</f>
        <v/>
      </c>
      <c r="J38" s="22">
        <f>IF(B38="","",INDEX(Panel!$F$10:$F$13,MATCH(D38,Panel!$G$10:$G$13,1)))</f>
        <v/>
      </c>
      <c r="K38" s="28">
        <f>IF(B38="","",IF(D38=0,"",SUMPRODUCT(MAX((Lecturas!$C$7:$C$206=B38)*Lecturas!$B$7:$B$206))))</f>
        <v/>
      </c>
      <c r="L38" s="29">
        <f>IF(B38="","",RANK(O38,$O$7:$O$46))</f>
        <v/>
      </c>
      <c r="M38" s="13" t="n"/>
      <c r="N38" s="12" t="n"/>
      <c r="O38" s="30">
        <f>IF(B38="","",D38+H38/1000000+(1000-ROW())/10000000000)</f>
        <v/>
      </c>
    </row>
    <row r="39" ht="20" customHeight="1">
      <c r="B39" s="12" t="n"/>
      <c r="C39" s="27" t="n"/>
      <c r="D39" s="14">
        <f>IF(B39="","",COUNTIF(Lecturas!$C$7:$C$206,B39))</f>
        <v/>
      </c>
      <c r="E39" s="14">
        <f>IF(B39="","",IF(M39&lt;&gt;"",M39,Panel!$C$13))</f>
        <v/>
      </c>
      <c r="F39" s="16">
        <f>IF(B39="","",IF(E39=0,0,MIN(1,D39/E39)))</f>
        <v/>
      </c>
      <c r="G39" s="23">
        <f>IF(B39="","",IF(D39&gt;=E39,"Cumplido",IF(D39&gt;=ROUND(E39*Panel!$C$14,0),"En ritmo","Por debajo")))</f>
        <v/>
      </c>
      <c r="H39" s="14">
        <f>IF(B39="","",SUMIF(Lecturas!$C$7:$C$206,B39,Lecturas!$G$7:$G$206))</f>
        <v/>
      </c>
      <c r="I39" s="19">
        <f>IF(B39="","",IFERROR(ROUND(SUMIF(Lecturas!$C$7:$C$206,B39,Lecturas!$H$7:$H$206)/COUNTIFS(Lecturas!$C$7:$C$206,B39,Lecturas!$H$7:$H$206,"&gt;0"),1),""))</f>
        <v/>
      </c>
      <c r="J39" s="22">
        <f>IF(B39="","",INDEX(Panel!$F$10:$F$13,MATCH(D39,Panel!$G$10:$G$13,1)))</f>
        <v/>
      </c>
      <c r="K39" s="28">
        <f>IF(B39="","",IF(D39=0,"",SUMPRODUCT(MAX((Lecturas!$C$7:$C$206=B39)*Lecturas!$B$7:$B$206))))</f>
        <v/>
      </c>
      <c r="L39" s="29">
        <f>IF(B39="","",RANK(O39,$O$7:$O$46))</f>
        <v/>
      </c>
      <c r="M39" s="13" t="n"/>
      <c r="N39" s="12" t="n"/>
      <c r="O39" s="30">
        <f>IF(B39="","",D39+H39/1000000+(1000-ROW())/10000000000)</f>
        <v/>
      </c>
    </row>
    <row r="40" ht="20" customHeight="1">
      <c r="B40" s="12" t="n"/>
      <c r="C40" s="27" t="n"/>
      <c r="D40" s="14">
        <f>IF(B40="","",COUNTIF(Lecturas!$C$7:$C$206,B40))</f>
        <v/>
      </c>
      <c r="E40" s="14">
        <f>IF(B40="","",IF(M40&lt;&gt;"",M40,Panel!$C$13))</f>
        <v/>
      </c>
      <c r="F40" s="16">
        <f>IF(B40="","",IF(E40=0,0,MIN(1,D40/E40)))</f>
        <v/>
      </c>
      <c r="G40" s="23">
        <f>IF(B40="","",IF(D40&gt;=E40,"Cumplido",IF(D40&gt;=ROUND(E40*Panel!$C$14,0),"En ritmo","Por debajo")))</f>
        <v/>
      </c>
      <c r="H40" s="14">
        <f>IF(B40="","",SUMIF(Lecturas!$C$7:$C$206,B40,Lecturas!$G$7:$G$206))</f>
        <v/>
      </c>
      <c r="I40" s="19">
        <f>IF(B40="","",IFERROR(ROUND(SUMIF(Lecturas!$C$7:$C$206,B40,Lecturas!$H$7:$H$206)/COUNTIFS(Lecturas!$C$7:$C$206,B40,Lecturas!$H$7:$H$206,"&gt;0"),1),""))</f>
        <v/>
      </c>
      <c r="J40" s="22">
        <f>IF(B40="","",INDEX(Panel!$F$10:$F$13,MATCH(D40,Panel!$G$10:$G$13,1)))</f>
        <v/>
      </c>
      <c r="K40" s="28">
        <f>IF(B40="","",IF(D40=0,"",SUMPRODUCT(MAX((Lecturas!$C$7:$C$206=B40)*Lecturas!$B$7:$B$206))))</f>
        <v/>
      </c>
      <c r="L40" s="29">
        <f>IF(B40="","",RANK(O40,$O$7:$O$46))</f>
        <v/>
      </c>
      <c r="M40" s="13" t="n"/>
      <c r="N40" s="12" t="n"/>
      <c r="O40" s="30">
        <f>IF(B40="","",D40+H40/1000000+(1000-ROW())/10000000000)</f>
        <v/>
      </c>
    </row>
    <row r="41" ht="20" customHeight="1">
      <c r="B41" s="12" t="n"/>
      <c r="C41" s="27" t="n"/>
      <c r="D41" s="14">
        <f>IF(B41="","",COUNTIF(Lecturas!$C$7:$C$206,B41))</f>
        <v/>
      </c>
      <c r="E41" s="14">
        <f>IF(B41="","",IF(M41&lt;&gt;"",M41,Panel!$C$13))</f>
        <v/>
      </c>
      <c r="F41" s="16">
        <f>IF(B41="","",IF(E41=0,0,MIN(1,D41/E41)))</f>
        <v/>
      </c>
      <c r="G41" s="23">
        <f>IF(B41="","",IF(D41&gt;=E41,"Cumplido",IF(D41&gt;=ROUND(E41*Panel!$C$14,0),"En ritmo","Por debajo")))</f>
        <v/>
      </c>
      <c r="H41" s="14">
        <f>IF(B41="","",SUMIF(Lecturas!$C$7:$C$206,B41,Lecturas!$G$7:$G$206))</f>
        <v/>
      </c>
      <c r="I41" s="19">
        <f>IF(B41="","",IFERROR(ROUND(SUMIF(Lecturas!$C$7:$C$206,B41,Lecturas!$H$7:$H$206)/COUNTIFS(Lecturas!$C$7:$C$206,B41,Lecturas!$H$7:$H$206,"&gt;0"),1),""))</f>
        <v/>
      </c>
      <c r="J41" s="22">
        <f>IF(B41="","",INDEX(Panel!$F$10:$F$13,MATCH(D41,Panel!$G$10:$G$13,1)))</f>
        <v/>
      </c>
      <c r="K41" s="28">
        <f>IF(B41="","",IF(D41=0,"",SUMPRODUCT(MAX((Lecturas!$C$7:$C$206=B41)*Lecturas!$B$7:$B$206))))</f>
        <v/>
      </c>
      <c r="L41" s="29">
        <f>IF(B41="","",RANK(O41,$O$7:$O$46))</f>
        <v/>
      </c>
      <c r="M41" s="13" t="n"/>
      <c r="N41" s="12" t="n"/>
      <c r="O41" s="30">
        <f>IF(B41="","",D41+H41/1000000+(1000-ROW())/10000000000)</f>
        <v/>
      </c>
    </row>
    <row r="42" ht="20" customHeight="1">
      <c r="B42" s="12" t="n"/>
      <c r="C42" s="27" t="n"/>
      <c r="D42" s="14">
        <f>IF(B42="","",COUNTIF(Lecturas!$C$7:$C$206,B42))</f>
        <v/>
      </c>
      <c r="E42" s="14">
        <f>IF(B42="","",IF(M42&lt;&gt;"",M42,Panel!$C$13))</f>
        <v/>
      </c>
      <c r="F42" s="16">
        <f>IF(B42="","",IF(E42=0,0,MIN(1,D42/E42)))</f>
        <v/>
      </c>
      <c r="G42" s="23">
        <f>IF(B42="","",IF(D42&gt;=E42,"Cumplido",IF(D42&gt;=ROUND(E42*Panel!$C$14,0),"En ritmo","Por debajo")))</f>
        <v/>
      </c>
      <c r="H42" s="14">
        <f>IF(B42="","",SUMIF(Lecturas!$C$7:$C$206,B42,Lecturas!$G$7:$G$206))</f>
        <v/>
      </c>
      <c r="I42" s="19">
        <f>IF(B42="","",IFERROR(ROUND(SUMIF(Lecturas!$C$7:$C$206,B42,Lecturas!$H$7:$H$206)/COUNTIFS(Lecturas!$C$7:$C$206,B42,Lecturas!$H$7:$H$206,"&gt;0"),1),""))</f>
        <v/>
      </c>
      <c r="J42" s="22">
        <f>IF(B42="","",INDEX(Panel!$F$10:$F$13,MATCH(D42,Panel!$G$10:$G$13,1)))</f>
        <v/>
      </c>
      <c r="K42" s="28">
        <f>IF(B42="","",IF(D42=0,"",SUMPRODUCT(MAX((Lecturas!$C$7:$C$206=B42)*Lecturas!$B$7:$B$206))))</f>
        <v/>
      </c>
      <c r="L42" s="29">
        <f>IF(B42="","",RANK(O42,$O$7:$O$46))</f>
        <v/>
      </c>
      <c r="M42" s="13" t="n"/>
      <c r="N42" s="12" t="n"/>
      <c r="O42" s="30">
        <f>IF(B42="","",D42+H42/1000000+(1000-ROW())/10000000000)</f>
        <v/>
      </c>
    </row>
    <row r="43" ht="20" customHeight="1">
      <c r="B43" s="12" t="n"/>
      <c r="C43" s="27" t="n"/>
      <c r="D43" s="14">
        <f>IF(B43="","",COUNTIF(Lecturas!$C$7:$C$206,B43))</f>
        <v/>
      </c>
      <c r="E43" s="14">
        <f>IF(B43="","",IF(M43&lt;&gt;"",M43,Panel!$C$13))</f>
        <v/>
      </c>
      <c r="F43" s="16">
        <f>IF(B43="","",IF(E43=0,0,MIN(1,D43/E43)))</f>
        <v/>
      </c>
      <c r="G43" s="23">
        <f>IF(B43="","",IF(D43&gt;=E43,"Cumplido",IF(D43&gt;=ROUND(E43*Panel!$C$14,0),"En ritmo","Por debajo")))</f>
        <v/>
      </c>
      <c r="H43" s="14">
        <f>IF(B43="","",SUMIF(Lecturas!$C$7:$C$206,B43,Lecturas!$G$7:$G$206))</f>
        <v/>
      </c>
      <c r="I43" s="19">
        <f>IF(B43="","",IFERROR(ROUND(SUMIF(Lecturas!$C$7:$C$206,B43,Lecturas!$H$7:$H$206)/COUNTIFS(Lecturas!$C$7:$C$206,B43,Lecturas!$H$7:$H$206,"&gt;0"),1),""))</f>
        <v/>
      </c>
      <c r="J43" s="22">
        <f>IF(B43="","",INDEX(Panel!$F$10:$F$13,MATCH(D43,Panel!$G$10:$G$13,1)))</f>
        <v/>
      </c>
      <c r="K43" s="28">
        <f>IF(B43="","",IF(D43=0,"",SUMPRODUCT(MAX((Lecturas!$C$7:$C$206=B43)*Lecturas!$B$7:$B$206))))</f>
        <v/>
      </c>
      <c r="L43" s="29">
        <f>IF(B43="","",RANK(O43,$O$7:$O$46))</f>
        <v/>
      </c>
      <c r="M43" s="13" t="n"/>
      <c r="N43" s="12" t="n"/>
      <c r="O43" s="30">
        <f>IF(B43="","",D43+H43/1000000+(1000-ROW())/10000000000)</f>
        <v/>
      </c>
    </row>
    <row r="44" ht="20" customHeight="1">
      <c r="B44" s="12" t="n"/>
      <c r="C44" s="27" t="n"/>
      <c r="D44" s="14">
        <f>IF(B44="","",COUNTIF(Lecturas!$C$7:$C$206,B44))</f>
        <v/>
      </c>
      <c r="E44" s="14">
        <f>IF(B44="","",IF(M44&lt;&gt;"",M44,Panel!$C$13))</f>
        <v/>
      </c>
      <c r="F44" s="16">
        <f>IF(B44="","",IF(E44=0,0,MIN(1,D44/E44)))</f>
        <v/>
      </c>
      <c r="G44" s="23">
        <f>IF(B44="","",IF(D44&gt;=E44,"Cumplido",IF(D44&gt;=ROUND(E44*Panel!$C$14,0),"En ritmo","Por debajo")))</f>
        <v/>
      </c>
      <c r="H44" s="14">
        <f>IF(B44="","",SUMIF(Lecturas!$C$7:$C$206,B44,Lecturas!$G$7:$G$206))</f>
        <v/>
      </c>
      <c r="I44" s="19">
        <f>IF(B44="","",IFERROR(ROUND(SUMIF(Lecturas!$C$7:$C$206,B44,Lecturas!$H$7:$H$206)/COUNTIFS(Lecturas!$C$7:$C$206,B44,Lecturas!$H$7:$H$206,"&gt;0"),1),""))</f>
        <v/>
      </c>
      <c r="J44" s="22">
        <f>IF(B44="","",INDEX(Panel!$F$10:$F$13,MATCH(D44,Panel!$G$10:$G$13,1)))</f>
        <v/>
      </c>
      <c r="K44" s="28">
        <f>IF(B44="","",IF(D44=0,"",SUMPRODUCT(MAX((Lecturas!$C$7:$C$206=B44)*Lecturas!$B$7:$B$206))))</f>
        <v/>
      </c>
      <c r="L44" s="29">
        <f>IF(B44="","",RANK(O44,$O$7:$O$46))</f>
        <v/>
      </c>
      <c r="M44" s="13" t="n"/>
      <c r="N44" s="12" t="n"/>
      <c r="O44" s="30">
        <f>IF(B44="","",D44+H44/1000000+(1000-ROW())/10000000000)</f>
        <v/>
      </c>
    </row>
    <row r="45" ht="20" customHeight="1">
      <c r="B45" s="12" t="n"/>
      <c r="C45" s="27" t="n"/>
      <c r="D45" s="14">
        <f>IF(B45="","",COUNTIF(Lecturas!$C$7:$C$206,B45))</f>
        <v/>
      </c>
      <c r="E45" s="14">
        <f>IF(B45="","",IF(M45&lt;&gt;"",M45,Panel!$C$13))</f>
        <v/>
      </c>
      <c r="F45" s="16">
        <f>IF(B45="","",IF(E45=0,0,MIN(1,D45/E45)))</f>
        <v/>
      </c>
      <c r="G45" s="23">
        <f>IF(B45="","",IF(D45&gt;=E45,"Cumplido",IF(D45&gt;=ROUND(E45*Panel!$C$14,0),"En ritmo","Por debajo")))</f>
        <v/>
      </c>
      <c r="H45" s="14">
        <f>IF(B45="","",SUMIF(Lecturas!$C$7:$C$206,B45,Lecturas!$G$7:$G$206))</f>
        <v/>
      </c>
      <c r="I45" s="19">
        <f>IF(B45="","",IFERROR(ROUND(SUMIF(Lecturas!$C$7:$C$206,B45,Lecturas!$H$7:$H$206)/COUNTIFS(Lecturas!$C$7:$C$206,B45,Lecturas!$H$7:$H$206,"&gt;0"),1),""))</f>
        <v/>
      </c>
      <c r="J45" s="22">
        <f>IF(B45="","",INDEX(Panel!$F$10:$F$13,MATCH(D45,Panel!$G$10:$G$13,1)))</f>
        <v/>
      </c>
      <c r="K45" s="28">
        <f>IF(B45="","",IF(D45=0,"",SUMPRODUCT(MAX((Lecturas!$C$7:$C$206=B45)*Lecturas!$B$7:$B$206))))</f>
        <v/>
      </c>
      <c r="L45" s="29">
        <f>IF(B45="","",RANK(O45,$O$7:$O$46))</f>
        <v/>
      </c>
      <c r="M45" s="13" t="n"/>
      <c r="N45" s="12" t="n"/>
      <c r="O45" s="30">
        <f>IF(B45="","",D45+H45/1000000+(1000-ROW())/10000000000)</f>
        <v/>
      </c>
    </row>
    <row r="46" ht="20" customHeight="1">
      <c r="B46" s="12" t="n"/>
      <c r="C46" s="27" t="n"/>
      <c r="D46" s="14">
        <f>IF(B46="","",COUNTIF(Lecturas!$C$7:$C$206,B46))</f>
        <v/>
      </c>
      <c r="E46" s="14">
        <f>IF(B46="","",IF(M46&lt;&gt;"",M46,Panel!$C$13))</f>
        <v/>
      </c>
      <c r="F46" s="16">
        <f>IF(B46="","",IF(E46=0,0,MIN(1,D46/E46)))</f>
        <v/>
      </c>
      <c r="G46" s="23">
        <f>IF(B46="","",IF(D46&gt;=E46,"Cumplido",IF(D46&gt;=ROUND(E46*Panel!$C$14,0),"En ritmo","Por debajo")))</f>
        <v/>
      </c>
      <c r="H46" s="14">
        <f>IF(B46="","",SUMIF(Lecturas!$C$7:$C$206,B46,Lecturas!$G$7:$G$206))</f>
        <v/>
      </c>
      <c r="I46" s="19">
        <f>IF(B46="","",IFERROR(ROUND(SUMIF(Lecturas!$C$7:$C$206,B46,Lecturas!$H$7:$H$206)/COUNTIFS(Lecturas!$C$7:$C$206,B46,Lecturas!$H$7:$H$206,"&gt;0"),1),""))</f>
        <v/>
      </c>
      <c r="J46" s="22">
        <f>IF(B46="","",INDEX(Panel!$F$10:$F$13,MATCH(D46,Panel!$G$10:$G$13,1)))</f>
        <v/>
      </c>
      <c r="K46" s="28">
        <f>IF(B46="","",IF(D46=0,"",SUMPRODUCT(MAX((Lecturas!$C$7:$C$206=B46)*Lecturas!$B$7:$B$206))))</f>
        <v/>
      </c>
      <c r="L46" s="29">
        <f>IF(B46="","",RANK(O46,$O$7:$O$46))</f>
        <v/>
      </c>
      <c r="M46" s="13" t="n"/>
      <c r="N46" s="12" t="n"/>
      <c r="O46" s="30">
        <f>IF(B46="","",D46+H46/1000000+(1000-ROW())/10000000000)</f>
        <v/>
      </c>
    </row>
    <row r="48">
      <c r="B48" s="20" t="inlineStr">
        <is>
          <t>Hasta la fila 46 (40 alumnos). «Orden aux.» desempata el puesto por páginas; no la modifiques.</t>
        </is>
      </c>
    </row>
    <row r="49">
      <c r="B49" s="20" t="inlineStr">
        <is>
          <t>Si dejas vacío el objetivo personal se aplica el reto de la clase fijado en el Panel (celda C13).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G7:G46">
    <cfRule type="cellIs" priority="1" operator="equal" dxfId="0">
      <formula>"Cumplido"</formula>
    </cfRule>
    <cfRule type="cellIs" priority="2" operator="equal" dxfId="1">
      <formula>"Por debajo"</formula>
    </cfRule>
  </conditionalFormatting>
  <conditionalFormatting sqref="D7:D46">
    <cfRule type="expression" priority="3" dxfId="2">
      <formula>AND(B7&lt;&gt;"",D7=0)</formula>
    </cfRule>
  </conditionalFormatting>
  <conditionalFormatting sqref="F7:F46">
    <cfRule type="dataBar" priority="4">
      <dataBar>
        <cfvo type="num" val="0"/>
        <cfvo type="max"/>
        <color rgb="0010B981"/>
      </dataBar>
    </cfRule>
  </conditionalFormatting>
  <dataValidations count="2">
    <dataValidation sqref="C7:C46" showDropDown="0" showInputMessage="0" showErrorMessage="0" allowBlank="1" type="list">
      <formula1>=Listas!$A$2:$A$7</formula1>
    </dataValidation>
    <dataValidation sqref="M7:M46" showDropDown="0" showInputMessage="0" showErrorMessage="0" allowBlank="1" errorTitle="Objetivo" error="Escribe un número entero de libros entre 1 y 60, o deja la celda vacía." type="whole" operator="between">
      <formula1>1</formula1>
      <formula2>60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L208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22" customWidth="1" min="3" max="3"/>
    <col width="36" customWidth="1" min="4" max="4"/>
    <col width="24" customWidth="1" min="5" max="5"/>
    <col width="22" customWidth="1" min="6" max="6"/>
    <col width="10" customWidth="1" min="7" max="7"/>
    <col width="11" customWidth="1" min="8" max="8"/>
    <col width="38" customWidth="1" min="9" max="9"/>
    <col width="12" customWidth="1" min="10" max="10"/>
    <col width="12" customWidth="1" min="11" max="11"/>
    <col width="26" customWidth="1" min="12" max="12"/>
  </cols>
  <sheetData>
    <row r="2" ht="34" customHeight="1">
      <c r="B2" s="1" t="inlineStr">
        <is>
          <t>Registro de lecturas del aula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Una fila por libro terminado. Elige el alumno/a en el desplegable; grupo, estrellas y avisos se calculan solos.</t>
        </is>
      </c>
    </row>
    <row r="6" ht="34" customHeight="1">
      <c r="B6" s="11" t="inlineStr">
        <is>
          <t>Fecha de fin</t>
        </is>
      </c>
      <c r="C6" s="11" t="inlineStr">
        <is>
          <t>Alumno/a</t>
        </is>
      </c>
      <c r="D6" s="11" t="inlineStr">
        <is>
          <t>Título</t>
        </is>
      </c>
      <c r="E6" s="11" t="inlineStr">
        <is>
          <t>Autor/a</t>
        </is>
      </c>
      <c r="F6" s="11" t="inlineStr">
        <is>
          <t>Género</t>
        </is>
      </c>
      <c r="G6" s="11" t="inlineStr">
        <is>
          <t>Páginas</t>
        </is>
      </c>
      <c r="H6" s="11" t="inlineStr">
        <is>
          <t>Valoración (1-5)</t>
        </is>
      </c>
      <c r="I6" s="11" t="inlineStr">
        <is>
          <t>Comentario</t>
        </is>
      </c>
      <c r="J6" s="11" t="inlineStr">
        <is>
          <t>Grupo</t>
        </is>
      </c>
      <c r="K6" s="11" t="inlineStr">
        <is>
          <t>Estrellas</t>
        </is>
      </c>
      <c r="L6" s="11" t="inlineStr">
        <is>
          <t>Aviso</t>
        </is>
      </c>
    </row>
    <row r="7" ht="20" customHeight="1">
      <c r="B7" s="10" t="n">
        <v>45933</v>
      </c>
      <c r="C7" s="12" t="inlineStr">
        <is>
          <t>Irene Vidal</t>
        </is>
      </c>
      <c r="D7" s="12" t="inlineStr">
        <is>
          <t>Persépolis</t>
        </is>
      </c>
      <c r="E7" s="12" t="inlineStr">
        <is>
          <t>Marjane Satrapi</t>
        </is>
      </c>
      <c r="F7" s="12" t="inlineStr">
        <is>
          <t>Cómic y novela gráfica</t>
        </is>
      </c>
      <c r="G7" s="31" t="n">
        <v>352</v>
      </c>
      <c r="H7" s="13" t="n">
        <v>5</v>
      </c>
      <c r="I7" s="12" t="inlineStr">
        <is>
          <t>Muy buena para hablar de historia reciente.</t>
        </is>
      </c>
      <c r="J7" s="23">
        <f>IF(C7="","",IFERROR(VLOOKUP(C7,Alumnado!$B$7:$C$46,2,FALSE),"?"))</f>
        <v/>
      </c>
      <c r="K7" s="23">
        <f>IF(OR(C7="",H7=""),"",REPT("★",H7)&amp;REPT("☆",5-H7))</f>
        <v/>
      </c>
      <c r="L7" s="23">
        <f>IF(AND(B7="",C7="",D7=""),"",IF(C7="","Falta alumno/a",IF(ISNA(MATCH(C7,Alumnado!$B$7:$B$46,0)),"Alumno/a no está en la lista",IF(D7="","Falta título",IF(B7="","Falta fecha",IF(OR(B7&lt;Panel!$C$9,B7&gt;Panel!$C$10),"Fuera del curso",IF(G7="","Faltan páginas",IF(H7="","Sin valorar","OK"))))))))</f>
        <v/>
      </c>
    </row>
    <row r="8" ht="20" customHeight="1">
      <c r="B8" s="10" t="n">
        <v>45936</v>
      </c>
      <c r="C8" s="12" t="inlineStr">
        <is>
          <t>Sofía Lozano</t>
        </is>
      </c>
      <c r="D8" s="12" t="inlineStr">
        <is>
          <t>Fahrenheit 451</t>
        </is>
      </c>
      <c r="E8" s="12" t="inlineStr">
        <is>
          <t>Ray Bradbury</t>
        </is>
      </c>
      <c r="F8" s="12" t="inlineStr">
        <is>
          <t>Ciencia ficción</t>
        </is>
      </c>
      <c r="G8" s="31" t="n">
        <v>192</v>
      </c>
      <c r="H8" s="13" t="n">
        <v>5</v>
      </c>
      <c r="I8" s="12" t="n"/>
      <c r="J8" s="23">
        <f>IF(C8="","",IFERROR(VLOOKUP(C8,Alumnado!$B$7:$C$46,2,FALSE),"?"))</f>
        <v/>
      </c>
      <c r="K8" s="23">
        <f>IF(OR(C8="",H8=""),"",REPT("★",H8)&amp;REPT("☆",5-H8))</f>
        <v/>
      </c>
      <c r="L8" s="23">
        <f>IF(AND(B8="",C8="",D8=""),"",IF(C8="","Falta alumno/a",IF(ISNA(MATCH(C8,Alumnado!$B$7:$B$46,0)),"Alumno/a no está en la lista",IF(D8="","Falta título",IF(B8="","Falta fecha",IF(OR(B8&lt;Panel!$C$9,B8&gt;Panel!$C$10),"Fuera del curso",IF(G8="","Faltan páginas",IF(H8="","Sin valorar","OK"))))))))</f>
        <v/>
      </c>
    </row>
    <row r="9" ht="20" customHeight="1">
      <c r="B9" s="10" t="n">
        <v>45940</v>
      </c>
      <c r="C9" s="12" t="inlineStr">
        <is>
          <t>Lucía Martín</t>
        </is>
      </c>
      <c r="D9" s="12" t="inlineStr">
        <is>
          <t>Matilda</t>
        </is>
      </c>
      <c r="E9" s="12" t="inlineStr">
        <is>
          <t>Roald Dahl</t>
        </is>
      </c>
      <c r="F9" s="12" t="inlineStr">
        <is>
          <t>Novela juvenil</t>
        </is>
      </c>
      <c r="G9" s="31" t="n">
        <v>240</v>
      </c>
      <c r="H9" s="13" t="n">
        <v>5</v>
      </c>
      <c r="I9" s="12" t="inlineStr">
        <is>
          <t>Lo leyó en dos semanas.</t>
        </is>
      </c>
      <c r="J9" s="23">
        <f>IF(C9="","",IFERROR(VLOOKUP(C9,Alumnado!$B$7:$C$46,2,FALSE),"?"))</f>
        <v/>
      </c>
      <c r="K9" s="23">
        <f>IF(OR(C9="",H9=""),"",REPT("★",H9)&amp;REPT("☆",5-H9))</f>
        <v/>
      </c>
      <c r="L9" s="23">
        <f>IF(AND(B9="",C9="",D9=""),"",IF(C9="","Falta alumno/a",IF(ISNA(MATCH(C9,Alumnado!$B$7:$B$46,0)),"Alumno/a no está en la lista",IF(D9="","Falta título",IF(B9="","Falta fecha",IF(OR(B9&lt;Panel!$C$9,B9&gt;Panel!$C$10),"Fuera del curso",IF(G9="","Faltan páginas",IF(H9="","Sin valorar","OK"))))))))</f>
        <v/>
      </c>
    </row>
    <row r="10" ht="20" customHeight="1">
      <c r="B10" s="10" t="n">
        <v>45947</v>
      </c>
      <c r="C10" s="12" t="inlineStr">
        <is>
          <t>Carmen Soler</t>
        </is>
      </c>
      <c r="D10" s="12" t="inlineStr">
        <is>
          <t>El diario de Ana Frank</t>
        </is>
      </c>
      <c r="E10" s="12" t="inlineStr">
        <is>
          <t>Ana Frank</t>
        </is>
      </c>
      <c r="F10" s="12" t="inlineStr">
        <is>
          <t>No ficción</t>
        </is>
      </c>
      <c r="G10" s="31" t="n">
        <v>352</v>
      </c>
      <c r="H10" s="13" t="n">
        <v>5</v>
      </c>
      <c r="I10" s="12" t="inlineStr">
        <is>
          <t>Hizo una presentación oral a la clase.</t>
        </is>
      </c>
      <c r="J10" s="23">
        <f>IF(C10="","",IFERROR(VLOOKUP(C10,Alumnado!$B$7:$C$46,2,FALSE),"?"))</f>
        <v/>
      </c>
      <c r="K10" s="23">
        <f>IF(OR(C10="",H10=""),"",REPT("★",H10)&amp;REPT("☆",5-H10))</f>
        <v/>
      </c>
      <c r="L10" s="23">
        <f>IF(AND(B10="",C10="",D10=""),"",IF(C10="","Falta alumno/a",IF(ISNA(MATCH(C10,Alumnado!$B$7:$B$46,0)),"Alumno/a no está en la lista",IF(D10="","Falta título",IF(B10="","Falta fecha",IF(OR(B10&lt;Panel!$C$9,B10&gt;Panel!$C$10),"Fuera del curso",IF(G10="","Faltan páginas",IF(H10="","Sin valorar","OK"))))))))</f>
        <v/>
      </c>
    </row>
    <row r="11" ht="20" customHeight="1">
      <c r="B11" s="10" t="n">
        <v>45954</v>
      </c>
      <c r="C11" s="12" t="inlineStr">
        <is>
          <t>Pablo Ruiz</t>
        </is>
      </c>
      <c r="D11" s="12" t="inlineStr">
        <is>
          <t>Percy Jackson y el ladrón del rayo</t>
        </is>
      </c>
      <c r="E11" s="12" t="inlineStr">
        <is>
          <t>Rick Riordan</t>
        </is>
      </c>
      <c r="F11" s="12" t="inlineStr">
        <is>
          <t>Fantasía</t>
        </is>
      </c>
      <c r="G11" s="31" t="n">
        <v>352</v>
      </c>
      <c r="H11" s="13" t="n">
        <v>4</v>
      </c>
      <c r="I11" s="12" t="n"/>
      <c r="J11" s="23">
        <f>IF(C11="","",IFERROR(VLOOKUP(C11,Alumnado!$B$7:$C$46,2,FALSE),"?"))</f>
        <v/>
      </c>
      <c r="K11" s="23">
        <f>IF(OR(C11="",H11=""),"",REPT("★",H11)&amp;REPT("☆",5-H11))</f>
        <v/>
      </c>
      <c r="L11" s="23">
        <f>IF(AND(B11="",C11="",D11=""),"",IF(C11="","Falta alumno/a",IF(ISNA(MATCH(C11,Alumnado!$B$7:$B$46,0)),"Alumno/a no está en la lista",IF(D11="","Falta título",IF(B11="","Falta fecha",IF(OR(B11&lt;Panel!$C$9,B11&gt;Panel!$C$10),"Fuera del curso",IF(G11="","Faltan páginas",IF(H11="","Sin valorar","OK"))))))))</f>
        <v/>
      </c>
    </row>
    <row r="12" ht="20" customHeight="1">
      <c r="B12" s="10" t="n">
        <v>45959</v>
      </c>
      <c r="C12" s="12" t="inlineStr">
        <is>
          <t>Mario Gil</t>
        </is>
      </c>
      <c r="D12" s="12" t="inlineStr">
        <is>
          <t>El Lazarillo de Tormes</t>
        </is>
      </c>
      <c r="E12" s="12" t="inlineStr">
        <is>
          <t>Anónimo</t>
        </is>
      </c>
      <c r="F12" s="12" t="inlineStr">
        <is>
          <t>Novela juvenil</t>
        </is>
      </c>
      <c r="G12" s="31" t="n">
        <v>120</v>
      </c>
      <c r="H12" s="13" t="n">
        <v>3</v>
      </c>
      <c r="I12" s="12" t="inlineStr">
        <is>
          <t>Le costó el lenguaje; ayudó la edición con notas.</t>
        </is>
      </c>
      <c r="J12" s="23">
        <f>IF(C12="","",IFERROR(VLOOKUP(C12,Alumnado!$B$7:$C$46,2,FALSE),"?"))</f>
        <v/>
      </c>
      <c r="K12" s="23">
        <f>IF(OR(C12="",H12=""),"",REPT("★",H12)&amp;REPT("☆",5-H12))</f>
        <v/>
      </c>
      <c r="L12" s="23">
        <f>IF(AND(B12="",C12="",D12=""),"",IF(C12="","Falta alumno/a",IF(ISNA(MATCH(C12,Alumnado!$B$7:$B$46,0)),"Alumno/a no está en la lista",IF(D12="","Falta título",IF(B12="","Falta fecha",IF(OR(B12&lt;Panel!$C$9,B12&gt;Panel!$C$10),"Fuera del curso",IF(G12="","Faltan páginas",IF(H12="","Sin valorar","OK"))))))))</f>
        <v/>
      </c>
    </row>
    <row r="13" ht="20" customHeight="1">
      <c r="B13" s="10" t="n">
        <v>45961</v>
      </c>
      <c r="C13" s="12" t="inlineStr">
        <is>
          <t>Marta Ortega</t>
        </is>
      </c>
      <c r="D13" s="12" t="inlineStr">
        <is>
          <t>Mujercitas</t>
        </is>
      </c>
      <c r="E13" s="12" t="inlineStr">
        <is>
          <t>Louisa May Alcott</t>
        </is>
      </c>
      <c r="F13" s="12" t="inlineStr">
        <is>
          <t>Novela juvenil</t>
        </is>
      </c>
      <c r="G13" s="31" t="n">
        <v>400</v>
      </c>
      <c r="H13" s="13" t="n">
        <v>5</v>
      </c>
      <c r="I13" s="12" t="n"/>
      <c r="J13" s="23">
        <f>IF(C13="","",IFERROR(VLOOKUP(C13,Alumnado!$B$7:$C$46,2,FALSE),"?"))</f>
        <v/>
      </c>
      <c r="K13" s="23">
        <f>IF(OR(C13="",H13=""),"",REPT("★",H13)&amp;REPT("☆",5-H13))</f>
        <v/>
      </c>
      <c r="L13" s="23">
        <f>IF(AND(B13="",C13="",D13=""),"",IF(C13="","Falta alumno/a",IF(ISNA(MATCH(C13,Alumnado!$B$7:$B$46,0)),"Alumno/a no está en la lista",IF(D13="","Falta título",IF(B13="","Falta fecha",IF(OR(B13&lt;Panel!$C$9,B13&gt;Panel!$C$10),"Fuera del curso",IF(G13="","Faltan páginas",IF(H13="","Sin valorar","OK"))))))))</f>
        <v/>
      </c>
    </row>
    <row r="14" ht="20" customHeight="1">
      <c r="B14" s="10" t="n">
        <v>45966</v>
      </c>
      <c r="C14" s="12" t="inlineStr">
        <is>
          <t>Irene Vidal</t>
        </is>
      </c>
      <c r="D14" s="12" t="inlineStr">
        <is>
          <t>Marina</t>
        </is>
      </c>
      <c r="E14" s="12" t="inlineStr">
        <is>
          <t>Carlos Ruiz Zafón</t>
        </is>
      </c>
      <c r="F14" s="12" t="inlineStr">
        <is>
          <t>Misterio y terror</t>
        </is>
      </c>
      <c r="G14" s="31" t="n">
        <v>320</v>
      </c>
      <c r="H14" s="13" t="n">
        <v>4</v>
      </c>
      <c r="I14" s="12" t="n"/>
      <c r="J14" s="23">
        <f>IF(C14="","",IFERROR(VLOOKUP(C14,Alumnado!$B$7:$C$46,2,FALSE),"?"))</f>
        <v/>
      </c>
      <c r="K14" s="23">
        <f>IF(OR(C14="",H14=""),"",REPT("★",H14)&amp;REPT("☆",5-H14))</f>
        <v/>
      </c>
      <c r="L14" s="23">
        <f>IF(AND(B14="",C14="",D14=""),"",IF(C14="","Falta alumno/a",IF(ISNA(MATCH(C14,Alumnado!$B$7:$B$46,0)),"Alumno/a no está en la lista",IF(D14="","Falta título",IF(B14="","Falta fecha",IF(OR(B14&lt;Panel!$C$9,B14&gt;Panel!$C$10),"Fuera del curso",IF(G14="","Faltan páginas",IF(H14="","Sin valorar","OK"))))))))</f>
        <v/>
      </c>
    </row>
    <row r="15" ht="20" customHeight="1">
      <c r="B15" s="10" t="n">
        <v>45968</v>
      </c>
      <c r="C15" s="12" t="inlineStr">
        <is>
          <t>Lucía Martín</t>
        </is>
      </c>
      <c r="D15" s="12" t="inlineStr">
        <is>
          <t>Wonder</t>
        </is>
      </c>
      <c r="E15" s="12" t="inlineStr">
        <is>
          <t>R. J. Palacio</t>
        </is>
      </c>
      <c r="F15" s="12" t="inlineStr">
        <is>
          <t>Novela juvenil</t>
        </is>
      </c>
      <c r="G15" s="31" t="n">
        <v>392</v>
      </c>
      <c r="H15" s="13" t="n">
        <v>5</v>
      </c>
      <c r="I15" s="12" t="inlineStr">
        <is>
          <t>Participó en el coloquio del aula.</t>
        </is>
      </c>
      <c r="J15" s="23">
        <f>IF(C15="","",IFERROR(VLOOKUP(C15,Alumnado!$B$7:$C$46,2,FALSE),"?"))</f>
        <v/>
      </c>
      <c r="K15" s="23">
        <f>IF(OR(C15="",H15=""),"",REPT("★",H15)&amp;REPT("☆",5-H15))</f>
        <v/>
      </c>
      <c r="L15" s="23">
        <f>IF(AND(B15="",C15="",D15=""),"",IF(C15="","Falta alumno/a",IF(ISNA(MATCH(C15,Alumnado!$B$7:$B$46,0)),"Alumno/a no está en la lista",IF(D15="","Falta título",IF(B15="","Falta fecha",IF(OR(B15&lt;Panel!$C$9,B15&gt;Panel!$C$10),"Fuera del curso",IF(G15="","Faltan páginas",IF(H15="","Sin valorar","OK"))))))))</f>
        <v/>
      </c>
    </row>
    <row r="16" ht="20" customHeight="1">
      <c r="B16" s="10" t="n">
        <v>45971</v>
      </c>
      <c r="C16" s="12" t="inlineStr">
        <is>
          <t>Sofía Lozano</t>
        </is>
      </c>
      <c r="D16" s="12" t="inlineStr">
        <is>
          <t>Frankenstein</t>
        </is>
      </c>
      <c r="E16" s="12" t="inlineStr">
        <is>
          <t>Mary Shelley</t>
        </is>
      </c>
      <c r="F16" s="12" t="inlineStr">
        <is>
          <t>Misterio y terror</t>
        </is>
      </c>
      <c r="G16" s="31" t="n">
        <v>288</v>
      </c>
      <c r="H16" s="13" t="n">
        <v>4</v>
      </c>
      <c r="I16" s="12" t="n"/>
      <c r="J16" s="23">
        <f>IF(C16="","",IFERROR(VLOOKUP(C16,Alumnado!$B$7:$C$46,2,FALSE),"?"))</f>
        <v/>
      </c>
      <c r="K16" s="23">
        <f>IF(OR(C16="",H16=""),"",REPT("★",H16)&amp;REPT("☆",5-H16))</f>
        <v/>
      </c>
      <c r="L16" s="23">
        <f>IF(AND(B16="",C16="",D16=""),"",IF(C16="","Falta alumno/a",IF(ISNA(MATCH(C16,Alumnado!$B$7:$B$46,0)),"Alumno/a no está en la lista",IF(D16="","Falta título",IF(B16="","Falta fecha",IF(OR(B16&lt;Panel!$C$9,B16&gt;Panel!$C$10),"Fuera del curso",IF(G16="","Faltan páginas",IF(H16="","Sin valorar","OK"))))))))</f>
        <v/>
      </c>
    </row>
    <row r="17" ht="20" customHeight="1">
      <c r="B17" s="10" t="n">
        <v>45973</v>
      </c>
      <c r="C17" s="12" t="inlineStr">
        <is>
          <t>Noa Herrero</t>
        </is>
      </c>
      <c r="D17" s="12" t="inlineStr">
        <is>
          <t>Percy Jackson y el ladrón del rayo</t>
        </is>
      </c>
      <c r="E17" s="12" t="inlineStr">
        <is>
          <t>Rick Riordan</t>
        </is>
      </c>
      <c r="F17" s="12" t="inlineStr">
        <is>
          <t>Fantasía</t>
        </is>
      </c>
      <c r="G17" s="31" t="n">
        <v>352</v>
      </c>
      <c r="H17" s="13" t="n">
        <v>5</v>
      </c>
      <c r="I17" s="12" t="n"/>
      <c r="J17" s="23">
        <f>IF(C17="","",IFERROR(VLOOKUP(C17,Alumnado!$B$7:$C$46,2,FALSE),"?"))</f>
        <v/>
      </c>
      <c r="K17" s="23">
        <f>IF(OR(C17="",H17=""),"",REPT("★",H17)&amp;REPT("☆",5-H17))</f>
        <v/>
      </c>
      <c r="L17" s="23">
        <f>IF(AND(B17="",C17="",D17=""),"",IF(C17="","Falta alumno/a",IF(ISNA(MATCH(C17,Alumnado!$B$7:$B$46,0)),"Alumno/a no está en la lista",IF(D17="","Falta título",IF(B17="","Falta fecha",IF(OR(B17&lt;Panel!$C$9,B17&gt;Panel!$C$10),"Fuera del curso",IF(G17="","Faltan páginas",IF(H17="","Sin valorar","OK"))))))))</f>
        <v/>
      </c>
    </row>
    <row r="18" ht="20" customHeight="1">
      <c r="B18" s="10" t="n">
        <v>45975</v>
      </c>
      <c r="C18" s="12" t="inlineStr">
        <is>
          <t>Carmen Soler</t>
        </is>
      </c>
      <c r="D18" s="12" t="inlineStr">
        <is>
          <t>El principito</t>
        </is>
      </c>
      <c r="E18" s="12" t="inlineStr">
        <is>
          <t>Antoine de Saint-Exupéry</t>
        </is>
      </c>
      <c r="F18" s="12" t="inlineStr">
        <is>
          <t>Novela juvenil</t>
        </is>
      </c>
      <c r="G18" s="31" t="n">
        <v>96</v>
      </c>
      <c r="H18" s="13" t="n">
        <v>5</v>
      </c>
      <c r="I18" s="12" t="n"/>
      <c r="J18" s="23">
        <f>IF(C18="","",IFERROR(VLOOKUP(C18,Alumnado!$B$7:$C$46,2,FALSE),"?"))</f>
        <v/>
      </c>
      <c r="K18" s="23">
        <f>IF(OR(C18="",H18=""),"",REPT("★",H18)&amp;REPT("☆",5-H18))</f>
        <v/>
      </c>
      <c r="L18" s="23">
        <f>IF(AND(B18="",C18="",D18=""),"",IF(C18="","Falta alumno/a",IF(ISNA(MATCH(C18,Alumnado!$B$7:$B$46,0)),"Alumno/a no está en la lista",IF(D18="","Falta título",IF(B18="","Falta fecha",IF(OR(B18&lt;Panel!$C$9,B18&gt;Panel!$C$10),"Fuera del curso",IF(G18="","Faltan páginas",IF(H18="","Sin valorar","OK"))))))))</f>
        <v/>
      </c>
    </row>
    <row r="19" ht="20" customHeight="1">
      <c r="B19" s="10" t="n">
        <v>45982</v>
      </c>
      <c r="C19" s="12" t="inlineStr">
        <is>
          <t>Álex Campos</t>
        </is>
      </c>
      <c r="D19" s="12" t="inlineStr">
        <is>
          <t>Veinte mil leguas de viaje submarino</t>
        </is>
      </c>
      <c r="E19" s="12" t="inlineStr">
        <is>
          <t>Julio Verne</t>
        </is>
      </c>
      <c r="F19" s="12" t="inlineStr">
        <is>
          <t>Aventuras</t>
        </is>
      </c>
      <c r="G19" s="31" t="n">
        <v>400</v>
      </c>
      <c r="H19" s="13" t="n">
        <v>4</v>
      </c>
      <c r="I19" s="12" t="inlineStr">
        <is>
          <t>Lectura lenta pero constante.</t>
        </is>
      </c>
      <c r="J19" s="23">
        <f>IF(C19="","",IFERROR(VLOOKUP(C19,Alumnado!$B$7:$C$46,2,FALSE),"?"))</f>
        <v/>
      </c>
      <c r="K19" s="23">
        <f>IF(OR(C19="",H19=""),"",REPT("★",H19)&amp;REPT("☆",5-H19))</f>
        <v/>
      </c>
      <c r="L19" s="23">
        <f>IF(AND(B19="",C19="",D19=""),"",IF(C19="","Falta alumno/a",IF(ISNA(MATCH(C19,Alumnado!$B$7:$B$46,0)),"Alumno/a no está en la lista",IF(D19="","Falta título",IF(B19="","Falta fecha",IF(OR(B19&lt;Panel!$C$9,B19&gt;Panel!$C$10),"Fuera del curso",IF(G19="","Faltan páginas",IF(H19="","Sin valorar","OK"))))))))</f>
        <v/>
      </c>
    </row>
    <row r="20" ht="20" customHeight="1">
      <c r="B20" s="10" t="n">
        <v>45989</v>
      </c>
      <c r="C20" s="12" t="inlineStr">
        <is>
          <t>Lucía Martín</t>
        </is>
      </c>
      <c r="D20" s="12" t="inlineStr">
        <is>
          <t>El hobbit</t>
        </is>
      </c>
      <c r="E20" s="12" t="inlineStr">
        <is>
          <t>J. R. R. Tolkien</t>
        </is>
      </c>
      <c r="F20" s="12" t="inlineStr">
        <is>
          <t>Fantasía</t>
        </is>
      </c>
      <c r="G20" s="31" t="n">
        <v>320</v>
      </c>
      <c r="H20" s="13" t="n">
        <v>4</v>
      </c>
      <c r="I20" s="12" t="n"/>
      <c r="J20" s="23">
        <f>IF(C20="","",IFERROR(VLOOKUP(C20,Alumnado!$B$7:$C$46,2,FALSE),"?"))</f>
        <v/>
      </c>
      <c r="K20" s="23">
        <f>IF(OR(C20="",H20=""),"",REPT("★",H20)&amp;REPT("☆",5-H20))</f>
        <v/>
      </c>
      <c r="L20" s="23">
        <f>IF(AND(B20="",C20="",D20=""),"",IF(C20="","Falta alumno/a",IF(ISNA(MATCH(C20,Alumnado!$B$7:$B$46,0)),"Alumno/a no está en la lista",IF(D20="","Falta título",IF(B20="","Falta fecha",IF(OR(B20&lt;Panel!$C$9,B20&gt;Panel!$C$10),"Fuera del curso",IF(G20="","Faltan páginas",IF(H20="","Sin valorar","OK"))))))))</f>
        <v/>
      </c>
    </row>
    <row r="21" ht="20" customHeight="1">
      <c r="B21" s="10" t="n">
        <v>45989</v>
      </c>
      <c r="C21" s="12" t="inlineStr">
        <is>
          <t>Marta Ortega</t>
        </is>
      </c>
      <c r="D21" s="12" t="inlineStr">
        <is>
          <t>Wonder</t>
        </is>
      </c>
      <c r="E21" s="12" t="inlineStr">
        <is>
          <t>R. J. Palacio</t>
        </is>
      </c>
      <c r="F21" s="12" t="inlineStr">
        <is>
          <t>Novela juvenil</t>
        </is>
      </c>
      <c r="G21" s="31" t="n">
        <v>392</v>
      </c>
      <c r="H21" s="13" t="n">
        <v>5</v>
      </c>
      <c r="I21" s="12" t="n"/>
      <c r="J21" s="23">
        <f>IF(C21="","",IFERROR(VLOOKUP(C21,Alumnado!$B$7:$C$46,2,FALSE),"?"))</f>
        <v/>
      </c>
      <c r="K21" s="23">
        <f>IF(OR(C21="",H21=""),"",REPT("★",H21)&amp;REPT("☆",5-H21))</f>
        <v/>
      </c>
      <c r="L21" s="23">
        <f>IF(AND(B21="",C21="",D21=""),"",IF(C21="","Falta alumno/a",IF(ISNA(MATCH(C21,Alumnado!$B$7:$B$46,0)),"Alumno/a no está en la lista",IF(D21="","Falta título",IF(B21="","Falta fecha",IF(OR(B21&lt;Panel!$C$9,B21&gt;Panel!$C$10),"Fuera del curso",IF(G21="","Faltan páginas",IF(H21="","Sin valorar","OK"))))))))</f>
        <v/>
      </c>
    </row>
    <row r="22" ht="20" customHeight="1">
      <c r="B22" s="10" t="n">
        <v>45992</v>
      </c>
      <c r="C22" s="12" t="inlineStr">
        <is>
          <t>Sofía Lozano</t>
        </is>
      </c>
      <c r="D22" s="12" t="inlineStr">
        <is>
          <t>Maus</t>
        </is>
      </c>
      <c r="E22" s="12" t="inlineStr">
        <is>
          <t>Art Spiegelman</t>
        </is>
      </c>
      <c r="F22" s="12" t="inlineStr">
        <is>
          <t>Cómic y novela gráfica</t>
        </is>
      </c>
      <c r="G22" s="31" t="n">
        <v>296</v>
      </c>
      <c r="H22" s="13" t="n">
        <v>5</v>
      </c>
      <c r="I22" s="12" t="inlineStr">
        <is>
          <t>Conectó con el tema de la unidad de Historia.</t>
        </is>
      </c>
      <c r="J22" s="23">
        <f>IF(C22="","",IFERROR(VLOOKUP(C22,Alumnado!$B$7:$C$46,2,FALSE),"?"))</f>
        <v/>
      </c>
      <c r="K22" s="23">
        <f>IF(OR(C22="",H22=""),"",REPT("★",H22)&amp;REPT("☆",5-H22))</f>
        <v/>
      </c>
      <c r="L22" s="23">
        <f>IF(AND(B22="",C22="",D22=""),"",IF(C22="","Falta alumno/a",IF(ISNA(MATCH(C22,Alumnado!$B$7:$B$46,0)),"Alumno/a no está en la lista",IF(D22="","Falta título",IF(B22="","Falta fecha",IF(OR(B22&lt;Panel!$C$9,B22&gt;Panel!$C$10),"Fuera del curso",IF(G22="","Faltan páginas",IF(H22="","Sin valorar","OK"))))))))</f>
        <v/>
      </c>
    </row>
    <row r="23" ht="20" customHeight="1">
      <c r="B23" s="10" t="n">
        <v>45996</v>
      </c>
      <c r="C23" s="12" t="inlineStr">
        <is>
          <t>Pablo Ruiz</t>
        </is>
      </c>
      <c r="D23" s="12" t="inlineStr">
        <is>
          <t>Diario de Greg</t>
        </is>
      </c>
      <c r="E23" s="12" t="inlineStr">
        <is>
          <t>Jeff Kinney</t>
        </is>
      </c>
      <c r="F23" s="12" t="inlineStr">
        <is>
          <t>Novela juvenil</t>
        </is>
      </c>
      <c r="G23" s="31" t="n">
        <v>224</v>
      </c>
      <c r="H23" s="13" t="n">
        <v>3</v>
      </c>
      <c r="I23" s="12" t="n"/>
      <c r="J23" s="23">
        <f>IF(C23="","",IFERROR(VLOOKUP(C23,Alumnado!$B$7:$C$46,2,FALSE),"?"))</f>
        <v/>
      </c>
      <c r="K23" s="23">
        <f>IF(OR(C23="",H23=""),"",REPT("★",H23)&amp;REPT("☆",5-H23))</f>
        <v/>
      </c>
      <c r="L23" s="23">
        <f>IF(AND(B23="",C23="",D23=""),"",IF(C23="","Falta alumno/a",IF(ISNA(MATCH(C23,Alumnado!$B$7:$B$46,0)),"Alumno/a no está en la lista",IF(D23="","Falta título",IF(B23="","Falta fecha",IF(OR(B23&lt;Panel!$C$9,B23&gt;Panel!$C$10),"Fuera del curso",IF(G23="","Faltan páginas",IF(H23="","Sin valorar","OK"))))))))</f>
        <v/>
      </c>
    </row>
    <row r="24" ht="20" customHeight="1">
      <c r="B24" s="10" t="n">
        <v>46001</v>
      </c>
      <c r="C24" s="12" t="inlineStr">
        <is>
          <t>Adrián Cano</t>
        </is>
      </c>
      <c r="D24" s="12" t="inlineStr">
        <is>
          <t>Diario de Greg</t>
        </is>
      </c>
      <c r="E24" s="12" t="inlineStr">
        <is>
          <t>Jeff Kinney</t>
        </is>
      </c>
      <c r="F24" s="12" t="inlineStr">
        <is>
          <t>Novela juvenil</t>
        </is>
      </c>
      <c r="G24" s="31" t="n">
        <v>224</v>
      </c>
      <c r="H24" s="13" t="n">
        <v>3</v>
      </c>
      <c r="I24" s="12" t="inlineStr">
        <is>
          <t>Primer libro que termina en el curso.</t>
        </is>
      </c>
      <c r="J24" s="23">
        <f>IF(C24="","",IFERROR(VLOOKUP(C24,Alumnado!$B$7:$C$46,2,FALSE),"?"))</f>
        <v/>
      </c>
      <c r="K24" s="23">
        <f>IF(OR(C24="",H24=""),"",REPT("★",H24)&amp;REPT("☆",5-H24))</f>
        <v/>
      </c>
      <c r="L24" s="23">
        <f>IF(AND(B24="",C24="",D24=""),"",IF(C24="","Falta alumno/a",IF(ISNA(MATCH(C24,Alumnado!$B$7:$B$46,0)),"Alumno/a no está en la lista",IF(D24="","Falta título",IF(B24="","Falta fecha",IF(OR(B24&lt;Panel!$C$9,B24&gt;Panel!$C$10),"Fuera del curso",IF(G24="","Faltan páginas",IF(H24="","Sin valorar","OK"))))))))</f>
        <v/>
      </c>
    </row>
    <row r="25" ht="20" customHeight="1">
      <c r="B25" s="10" t="n">
        <v>46003</v>
      </c>
      <c r="C25" s="12" t="inlineStr">
        <is>
          <t>Irene Vidal</t>
        </is>
      </c>
      <c r="D25" s="12" t="inlineStr">
        <is>
          <t>Rimas y leyendas</t>
        </is>
      </c>
      <c r="E25" s="12" t="inlineStr">
        <is>
          <t>G. A. Bécquer</t>
        </is>
      </c>
      <c r="F25" s="12" t="inlineStr">
        <is>
          <t>Poesía y teatro</t>
        </is>
      </c>
      <c r="G25" s="31" t="n">
        <v>224</v>
      </c>
      <c r="H25" s="13" t="n">
        <v>3</v>
      </c>
      <c r="I25" s="12" t="n"/>
      <c r="J25" s="23">
        <f>IF(C25="","",IFERROR(VLOOKUP(C25,Alumnado!$B$7:$C$46,2,FALSE),"?"))</f>
        <v/>
      </c>
      <c r="K25" s="23">
        <f>IF(OR(C25="",H25=""),"",REPT("★",H25)&amp;REPT("☆",5-H25))</f>
        <v/>
      </c>
      <c r="L25" s="23">
        <f>IF(AND(B25="",C25="",D25=""),"",IF(C25="","Falta alumno/a",IF(ISNA(MATCH(C25,Alumnado!$B$7:$B$46,0)),"Alumno/a no está en la lista",IF(D25="","Falta título",IF(B25="","Falta fecha",IF(OR(B25&lt;Panel!$C$9,B25&gt;Panel!$C$10),"Fuera del curso",IF(G25="","Faltan páginas",IF(H25="","Sin valorar","OK"))))))))</f>
        <v/>
      </c>
    </row>
    <row r="26" ht="20" customHeight="1">
      <c r="B26" s="10" t="n">
        <v>46008</v>
      </c>
      <c r="C26" s="12" t="inlineStr">
        <is>
          <t>Mario Gil</t>
        </is>
      </c>
      <c r="D26" s="12" t="inlineStr">
        <is>
          <t>La isla del tesoro</t>
        </is>
      </c>
      <c r="E26" s="12" t="inlineStr">
        <is>
          <t>R. L. Stevenson</t>
        </is>
      </c>
      <c r="F26" s="12" t="inlineStr">
        <is>
          <t>Aventuras</t>
        </is>
      </c>
      <c r="G26" s="31" t="n">
        <v>288</v>
      </c>
      <c r="H26" s="13" t="n">
        <v>4</v>
      </c>
      <c r="I26" s="12" t="n"/>
      <c r="J26" s="23">
        <f>IF(C26="","",IFERROR(VLOOKUP(C26,Alumnado!$B$7:$C$46,2,FALSE),"?"))</f>
        <v/>
      </c>
      <c r="K26" s="23">
        <f>IF(OR(C26="",H26=""),"",REPT("★",H26)&amp;REPT("☆",5-H26))</f>
        <v/>
      </c>
      <c r="L26" s="23">
        <f>IF(AND(B26="",C26="",D26=""),"",IF(C26="","Falta alumno/a",IF(ISNA(MATCH(C26,Alumnado!$B$7:$B$46,0)),"Alumno/a no está en la lista",IF(D26="","Falta título",IF(B26="","Falta fecha",IF(OR(B26&lt;Panel!$C$9,B26&gt;Panel!$C$10),"Fuera del curso",IF(G26="","Faltan páginas",IF(H26="","Sin valorar","OK"))))))))</f>
        <v/>
      </c>
    </row>
    <row r="27" ht="20" customHeight="1">
      <c r="B27" s="10" t="n">
        <v>46010</v>
      </c>
      <c r="C27" s="12" t="inlineStr">
        <is>
          <t>Lucía Martín</t>
        </is>
      </c>
      <c r="D27" s="12" t="inlineStr">
        <is>
          <t>Coraline</t>
        </is>
      </c>
      <c r="E27" s="12" t="inlineStr">
        <is>
          <t>Neil Gaiman</t>
        </is>
      </c>
      <c r="F27" s="12" t="inlineStr">
        <is>
          <t>Fantasía</t>
        </is>
      </c>
      <c r="G27" s="31" t="n">
        <v>176</v>
      </c>
      <c r="H27" s="13" t="n">
        <v>4</v>
      </c>
      <c r="I27" s="12" t="n"/>
      <c r="J27" s="23">
        <f>IF(C27="","",IFERROR(VLOOKUP(C27,Alumnado!$B$7:$C$46,2,FALSE),"?"))</f>
        <v/>
      </c>
      <c r="K27" s="23">
        <f>IF(OR(C27="",H27=""),"",REPT("★",H27)&amp;REPT("☆",5-H27))</f>
        <v/>
      </c>
      <c r="L27" s="23">
        <f>IF(AND(B27="",C27="",D27=""),"",IF(C27="","Falta alumno/a",IF(ISNA(MATCH(C27,Alumnado!$B$7:$B$46,0)),"Alumno/a no está en la lista",IF(D27="","Falta título",IF(B27="","Falta fecha",IF(OR(B27&lt;Panel!$C$9,B27&gt;Panel!$C$10),"Fuera del curso",IF(G27="","Faltan páginas",IF(H27="","Sin valorar","OK"))))))))</f>
        <v/>
      </c>
    </row>
    <row r="28" ht="20" customHeight="1">
      <c r="B28" s="10" t="n">
        <v>46030</v>
      </c>
      <c r="C28" s="12" t="inlineStr">
        <is>
          <t>Noa Herrero</t>
        </is>
      </c>
      <c r="D28" s="12" t="inlineStr">
        <is>
          <t>Los juegos del hambre</t>
        </is>
      </c>
      <c r="E28" s="12" t="inlineStr">
        <is>
          <t>Suzanne Collins</t>
        </is>
      </c>
      <c r="F28" s="12" t="inlineStr">
        <is>
          <t>Ciencia ficción</t>
        </is>
      </c>
      <c r="G28" s="31" t="n">
        <v>400</v>
      </c>
      <c r="H28" s="13" t="n">
        <v>5</v>
      </c>
      <c r="I28" s="12" t="n"/>
      <c r="J28" s="23">
        <f>IF(C28="","",IFERROR(VLOOKUP(C28,Alumnado!$B$7:$C$46,2,FALSE),"?"))</f>
        <v/>
      </c>
      <c r="K28" s="23">
        <f>IF(OR(C28="",H28=""),"",REPT("★",H28)&amp;REPT("☆",5-H28))</f>
        <v/>
      </c>
      <c r="L28" s="23">
        <f>IF(AND(B28="",C28="",D28=""),"",IF(C28="","Falta alumno/a",IF(ISNA(MATCH(C28,Alumnado!$B$7:$B$46,0)),"Alumno/a no está en la lista",IF(D28="","Falta título",IF(B28="","Falta fecha",IF(OR(B28&lt;Panel!$C$9,B28&gt;Panel!$C$10),"Fuera del curso",IF(G28="","Faltan páginas",IF(H28="","Sin valorar","OK"))))))))</f>
        <v/>
      </c>
    </row>
    <row r="29" ht="20" customHeight="1">
      <c r="B29" s="10" t="n">
        <v>46031</v>
      </c>
      <c r="C29" s="12" t="inlineStr">
        <is>
          <t>Marta Ortega</t>
        </is>
      </c>
      <c r="D29" s="12" t="inlineStr">
        <is>
          <t>Frankenstein</t>
        </is>
      </c>
      <c r="E29" s="12" t="inlineStr">
        <is>
          <t>Mary Shelley</t>
        </is>
      </c>
      <c r="F29" s="12" t="inlineStr">
        <is>
          <t>Misterio y terror</t>
        </is>
      </c>
      <c r="G29" s="31" t="n">
        <v>288</v>
      </c>
      <c r="H29" s="13" t="n">
        <v>4</v>
      </c>
      <c r="I29" s="12" t="n"/>
      <c r="J29" s="23">
        <f>IF(C29="","",IFERROR(VLOOKUP(C29,Alumnado!$B$7:$C$46,2,FALSE),"?"))</f>
        <v/>
      </c>
      <c r="K29" s="23">
        <f>IF(OR(C29="",H29=""),"",REPT("★",H29)&amp;REPT("☆",5-H29))</f>
        <v/>
      </c>
      <c r="L29" s="23">
        <f>IF(AND(B29="",C29="",D29=""),"",IF(C29="","Falta alumno/a",IF(ISNA(MATCH(C29,Alumnado!$B$7:$B$46,0)),"Alumno/a no está en la lista",IF(D29="","Falta título",IF(B29="","Falta fecha",IF(OR(B29&lt;Panel!$C$9,B29&gt;Panel!$C$10),"Fuera del curso",IF(G29="","Faltan páginas",IF(H29="","Sin valorar","OK"))))))))</f>
        <v/>
      </c>
    </row>
    <row r="30" ht="20" customHeight="1">
      <c r="B30" s="10" t="n">
        <v>46034</v>
      </c>
      <c r="C30" s="12" t="inlineStr">
        <is>
          <t>Sofía Lozano</t>
        </is>
      </c>
      <c r="D30" s="12" t="inlineStr">
        <is>
          <t>Marina</t>
        </is>
      </c>
      <c r="E30" s="12" t="inlineStr">
        <is>
          <t>Carlos Ruiz Zafón</t>
        </is>
      </c>
      <c r="F30" s="12" t="inlineStr">
        <is>
          <t>Misterio y terror</t>
        </is>
      </c>
      <c r="G30" s="31" t="n">
        <v>320</v>
      </c>
      <c r="H30" s="13" t="n">
        <v>4</v>
      </c>
      <c r="I30" s="12" t="n"/>
      <c r="J30" s="23">
        <f>IF(C30="","",IFERROR(VLOOKUP(C30,Alumnado!$B$7:$C$46,2,FALSE),"?"))</f>
        <v/>
      </c>
      <c r="K30" s="23">
        <f>IF(OR(C30="",H30=""),"",REPT("★",H30)&amp;REPT("☆",5-H30))</f>
        <v/>
      </c>
      <c r="L30" s="23">
        <f>IF(AND(B30="",C30="",D30=""),"",IF(C30="","Falta alumno/a",IF(ISNA(MATCH(C30,Alumnado!$B$7:$B$46,0)),"Alumno/a no está en la lista",IF(D30="","Falta título",IF(B30="","Falta fecha",IF(OR(B30&lt;Panel!$C$9,B30&gt;Panel!$C$10),"Fuera del curso",IF(G30="","Faltan páginas",IF(H30="","Sin valorar","OK"))))))))</f>
        <v/>
      </c>
    </row>
    <row r="31" ht="20" customHeight="1">
      <c r="B31" s="10" t="n">
        <v>46036</v>
      </c>
      <c r="C31" s="12" t="inlineStr">
        <is>
          <t>Irene Vidal</t>
        </is>
      </c>
      <c r="D31" s="12" t="inlineStr">
        <is>
          <t>Fahrenheit 451</t>
        </is>
      </c>
      <c r="E31" s="12" t="inlineStr">
        <is>
          <t>Ray Bradbury</t>
        </is>
      </c>
      <c r="F31" s="12" t="inlineStr">
        <is>
          <t>Ciencia ficción</t>
        </is>
      </c>
      <c r="G31" s="31" t="n">
        <v>192</v>
      </c>
      <c r="H31" s="13" t="n">
        <v>4</v>
      </c>
      <c r="I31" s="12" t="n"/>
      <c r="J31" s="23">
        <f>IF(C31="","",IFERROR(VLOOKUP(C31,Alumnado!$B$7:$C$46,2,FALSE),"?"))</f>
        <v/>
      </c>
      <c r="K31" s="23">
        <f>IF(OR(C31="",H31=""),"",REPT("★",H31)&amp;REPT("☆",5-H31))</f>
        <v/>
      </c>
      <c r="L31" s="23">
        <f>IF(AND(B31="",C31="",D31=""),"",IF(C31="","Falta alumno/a",IF(ISNA(MATCH(C31,Alumnado!$B$7:$B$46,0)),"Alumno/a no está en la lista",IF(D31="","Falta título",IF(B31="","Falta fecha",IF(OR(B31&lt;Panel!$C$9,B31&gt;Panel!$C$10),"Fuera del curso",IF(G31="","Faltan páginas",IF(H31="","Sin valorar","OK"))))))))</f>
        <v/>
      </c>
    </row>
    <row r="32" ht="20" customHeight="1">
      <c r="B32" s="10" t="n">
        <v>46038</v>
      </c>
      <c r="C32" s="12" t="inlineStr">
        <is>
          <t>Carmen Soler</t>
        </is>
      </c>
      <c r="D32" s="12" t="inlineStr">
        <is>
          <t>El niño con el pijama de rayas</t>
        </is>
      </c>
      <c r="E32" s="12" t="inlineStr">
        <is>
          <t>John Boyne</t>
        </is>
      </c>
      <c r="F32" s="12" t="inlineStr">
        <is>
          <t>Novela juvenil</t>
        </is>
      </c>
      <c r="G32" s="31" t="n">
        <v>224</v>
      </c>
      <c r="H32" s="13" t="n">
        <v>4</v>
      </c>
      <c r="I32" s="12" t="inlineStr">
        <is>
          <t>Pidió más libros sobre el tema.</t>
        </is>
      </c>
      <c r="J32" s="23">
        <f>IF(C32="","",IFERROR(VLOOKUP(C32,Alumnado!$B$7:$C$46,2,FALSE),"?"))</f>
        <v/>
      </c>
      <c r="K32" s="23">
        <f>IF(OR(C32="",H32=""),"",REPT("★",H32)&amp;REPT("☆",5-H32))</f>
        <v/>
      </c>
      <c r="L32" s="23">
        <f>IF(AND(B32="",C32="",D32=""),"",IF(C32="","Falta alumno/a",IF(ISNA(MATCH(C32,Alumnado!$B$7:$B$46,0)),"Alumno/a no está en la lista",IF(D32="","Falta título",IF(B32="","Falta fecha",IF(OR(B32&lt;Panel!$C$9,B32&gt;Panel!$C$10),"Fuera del curso",IF(G32="","Faltan páginas",IF(H32="","Sin valorar","OK"))))))))</f>
        <v/>
      </c>
    </row>
    <row r="33" ht="20" customHeight="1">
      <c r="B33" s="10" t="n">
        <v>46045</v>
      </c>
      <c r="C33" s="12" t="inlineStr">
        <is>
          <t>Lucía Martín</t>
        </is>
      </c>
      <c r="D33" s="12" t="inlineStr">
        <is>
          <t>Los juegos del hambre</t>
        </is>
      </c>
      <c r="E33" s="12" t="inlineStr">
        <is>
          <t>Suzanne Collins</t>
        </is>
      </c>
      <c r="F33" s="12" t="inlineStr">
        <is>
          <t>Ciencia ficción</t>
        </is>
      </c>
      <c r="G33" s="31" t="n">
        <v>400</v>
      </c>
      <c r="H33" s="13" t="n">
        <v>5</v>
      </c>
      <c r="I33" s="12" t="n"/>
      <c r="J33" s="23">
        <f>IF(C33="","",IFERROR(VLOOKUP(C33,Alumnado!$B$7:$C$46,2,FALSE),"?"))</f>
        <v/>
      </c>
      <c r="K33" s="23">
        <f>IF(OR(C33="",H33=""),"",REPT("★",H33)&amp;REPT("☆",5-H33))</f>
        <v/>
      </c>
      <c r="L33" s="23">
        <f>IF(AND(B33="",C33="",D33=""),"",IF(C33="","Falta alumno/a",IF(ISNA(MATCH(C33,Alumnado!$B$7:$B$46,0)),"Alumno/a no está en la lista",IF(D33="","Falta título",IF(B33="","Falta fecha",IF(OR(B33&lt;Panel!$C$9,B33&gt;Panel!$C$10),"Fuera del curso",IF(G33="","Faltan páginas",IF(H33="","Sin valorar","OK"))))))))</f>
        <v/>
      </c>
    </row>
    <row r="34" ht="20" customHeight="1">
      <c r="B34" s="10" t="n">
        <v>46052</v>
      </c>
      <c r="C34" s="12" t="inlineStr">
        <is>
          <t>Hugo Navarro</t>
        </is>
      </c>
      <c r="D34" s="12" t="inlineStr">
        <is>
          <t>Manolito Gafotas</t>
        </is>
      </c>
      <c r="E34" s="12" t="inlineStr">
        <is>
          <t>Elvira Lindo</t>
        </is>
      </c>
      <c r="F34" s="12" t="inlineStr">
        <is>
          <t>Novela juvenil</t>
        </is>
      </c>
      <c r="G34" s="31" t="n">
        <v>160</v>
      </c>
      <c r="H34" s="13" t="n">
        <v>3</v>
      </c>
      <c r="I34" s="12" t="inlineStr">
        <is>
          <t>Lectura compartida en voz alta con refuerzo.</t>
        </is>
      </c>
      <c r="J34" s="23">
        <f>IF(C34="","",IFERROR(VLOOKUP(C34,Alumnado!$B$7:$C$46,2,FALSE),"?"))</f>
        <v/>
      </c>
      <c r="K34" s="23">
        <f>IF(OR(C34="",H34=""),"",REPT("★",H34)&amp;REPT("☆",5-H34))</f>
        <v/>
      </c>
      <c r="L34" s="23">
        <f>IF(AND(B34="",C34="",D34=""),"",IF(C34="","Falta alumno/a",IF(ISNA(MATCH(C34,Alumnado!$B$7:$B$46,0)),"Alumno/a no está en la lista",IF(D34="","Falta título",IF(B34="","Falta fecha",IF(OR(B34&lt;Panel!$C$9,B34&gt;Panel!$C$10),"Fuera del curso",IF(G34="","Faltan páginas",IF(H34="","Sin valorar","OK"))))))))</f>
        <v/>
      </c>
    </row>
    <row r="35" ht="20" customHeight="1">
      <c r="B35" s="10" t="n">
        <v>46058</v>
      </c>
      <c r="C35" s="12" t="inlineStr">
        <is>
          <t>Mario Gil</t>
        </is>
      </c>
      <c r="D35" s="12" t="inlineStr">
        <is>
          <t>El hobbit</t>
        </is>
      </c>
      <c r="E35" s="12" t="inlineStr">
        <is>
          <t>J. R. R. Tolkien</t>
        </is>
      </c>
      <c r="F35" s="12" t="inlineStr">
        <is>
          <t>Fantasía</t>
        </is>
      </c>
      <c r="G35" s="31" t="n">
        <v>320</v>
      </c>
      <c r="H35" s="13" t="n">
        <v>5</v>
      </c>
      <c r="I35" s="12" t="n"/>
      <c r="J35" s="23">
        <f>IF(C35="","",IFERROR(VLOOKUP(C35,Alumnado!$B$7:$C$46,2,FALSE),"?"))</f>
        <v/>
      </c>
      <c r="K35" s="23">
        <f>IF(OR(C35="",H35=""),"",REPT("★",H35)&amp;REPT("☆",5-H35))</f>
        <v/>
      </c>
      <c r="L35" s="23">
        <f>IF(AND(B35="",C35="",D35=""),"",IF(C35="","Falta alumno/a",IF(ISNA(MATCH(C35,Alumnado!$B$7:$B$46,0)),"Alumno/a no está en la lista",IF(D35="","Falta título",IF(B35="","Falta fecha",IF(OR(B35&lt;Panel!$C$9,B35&gt;Panel!$C$10),"Fuera del curso",IF(G35="","Faltan páginas",IF(H35="","Sin valorar","OK"))))))))</f>
        <v/>
      </c>
    </row>
    <row r="36" ht="20" customHeight="1">
      <c r="B36" s="10" t="n">
        <v>46059</v>
      </c>
      <c r="C36" s="12" t="inlineStr">
        <is>
          <t>Pablo Ruiz</t>
        </is>
      </c>
      <c r="D36" s="12" t="inlineStr">
        <is>
          <t>La isla del tesoro</t>
        </is>
      </c>
      <c r="E36" s="12" t="inlineStr">
        <is>
          <t>R. L. Stevenson</t>
        </is>
      </c>
      <c r="F36" s="12" t="inlineStr">
        <is>
          <t>Aventuras</t>
        </is>
      </c>
      <c r="G36" s="31" t="n">
        <v>288</v>
      </c>
      <c r="H36" s="13" t="n">
        <v>3</v>
      </c>
      <c r="I36" s="12" t="n"/>
      <c r="J36" s="23">
        <f>IF(C36="","",IFERROR(VLOOKUP(C36,Alumnado!$B$7:$C$46,2,FALSE),"?"))</f>
        <v/>
      </c>
      <c r="K36" s="23">
        <f>IF(OR(C36="",H36=""),"",REPT("★",H36)&amp;REPT("☆",5-H36))</f>
        <v/>
      </c>
      <c r="L36" s="23">
        <f>IF(AND(B36="",C36="",D36=""),"",IF(C36="","Falta alumno/a",IF(ISNA(MATCH(C36,Alumnado!$B$7:$B$46,0)),"Alumno/a no está en la lista",IF(D36="","Falta título",IF(B36="","Falta fecha",IF(OR(B36&lt;Panel!$C$9,B36&gt;Panel!$C$10),"Fuera del curso",IF(G36="","Faltan páginas",IF(H36="","Sin valorar","OK"))))))))</f>
        <v/>
      </c>
    </row>
    <row r="37" ht="20" customHeight="1">
      <c r="B37" s="10" t="n">
        <v>46064</v>
      </c>
      <c r="C37" s="12" t="inlineStr">
        <is>
          <t>Álex Campos</t>
        </is>
      </c>
      <c r="D37" s="12" t="inlineStr">
        <is>
          <t>Estudio en escarlata</t>
        </is>
      </c>
      <c r="E37" s="12" t="inlineStr">
        <is>
          <t>Arthur Conan Doyle</t>
        </is>
      </c>
      <c r="F37" s="12" t="inlineStr">
        <is>
          <t>Misterio y terror</t>
        </is>
      </c>
      <c r="G37" s="31" t="n">
        <v>224</v>
      </c>
      <c r="H37" s="13" t="n">
        <v>5</v>
      </c>
      <c r="I37" s="12" t="inlineStr">
        <is>
          <t>Se engancha a las novelas de misterio.</t>
        </is>
      </c>
      <c r="J37" s="23">
        <f>IF(C37="","",IFERROR(VLOOKUP(C37,Alumnado!$B$7:$C$46,2,FALSE),"?"))</f>
        <v/>
      </c>
      <c r="K37" s="23">
        <f>IF(OR(C37="",H37=""),"",REPT("★",H37)&amp;REPT("☆",5-H37))</f>
        <v/>
      </c>
      <c r="L37" s="23">
        <f>IF(AND(B37="",C37="",D37=""),"",IF(C37="","Falta alumno/a",IF(ISNA(MATCH(C37,Alumnado!$B$7:$B$46,0)),"Alumno/a no está en la lista",IF(D37="","Falta título",IF(B37="","Falta fecha",IF(OR(B37&lt;Panel!$C$9,B37&gt;Panel!$C$10),"Fuera del curso",IF(G37="","Faltan páginas",IF(H37="","Sin valorar","OK"))))))))</f>
        <v/>
      </c>
    </row>
    <row r="38" ht="20" customHeight="1">
      <c r="B38" s="10" t="n">
        <v>46066</v>
      </c>
      <c r="C38" s="12" t="inlineStr">
        <is>
          <t>Lucía Martín</t>
        </is>
      </c>
      <c r="D38" s="12" t="inlineStr">
        <is>
          <t>Maus</t>
        </is>
      </c>
      <c r="E38" s="12" t="inlineStr">
        <is>
          <t>Art Spiegelman</t>
        </is>
      </c>
      <c r="F38" s="12" t="inlineStr">
        <is>
          <t>Cómic y novela gráfica</t>
        </is>
      </c>
      <c r="G38" s="31" t="n">
        <v>296</v>
      </c>
      <c r="H38" s="13" t="n">
        <v>4</v>
      </c>
      <c r="I38" s="12" t="n"/>
      <c r="J38" s="23">
        <f>IF(C38="","",IFERROR(VLOOKUP(C38,Alumnado!$B$7:$C$46,2,FALSE),"?"))</f>
        <v/>
      </c>
      <c r="K38" s="23">
        <f>IF(OR(C38="",H38=""),"",REPT("★",H38)&amp;REPT("☆",5-H38))</f>
        <v/>
      </c>
      <c r="L38" s="23">
        <f>IF(AND(B38="",C38="",D38=""),"",IF(C38="","Falta alumno/a",IF(ISNA(MATCH(C38,Alumnado!$B$7:$B$46,0)),"Alumno/a no está en la lista",IF(D38="","Falta título",IF(B38="","Falta fecha",IF(OR(B38&lt;Panel!$C$9,B38&gt;Panel!$C$10),"Fuera del curso",IF(G38="","Faltan páginas",IF(H38="","Sin valorar","OK"))))))))</f>
        <v/>
      </c>
    </row>
    <row r="39" ht="20" customHeight="1">
      <c r="B39" s="10" t="n">
        <v>46069</v>
      </c>
      <c r="C39" s="12" t="inlineStr">
        <is>
          <t>Marta Ortega</t>
        </is>
      </c>
      <c r="D39" s="12" t="inlineStr">
        <is>
          <t>La casa de Bernarda Alba</t>
        </is>
      </c>
      <c r="E39" s="12" t="inlineStr">
        <is>
          <t>Federico García Lorca</t>
        </is>
      </c>
      <c r="F39" s="12" t="inlineStr">
        <is>
          <t>Poesía y teatro</t>
        </is>
      </c>
      <c r="G39" s="31" t="n">
        <v>128</v>
      </c>
      <c r="H39" s="13" t="n">
        <v>3</v>
      </c>
      <c r="I39" s="12" t="inlineStr">
        <is>
          <t>Trabajado también en Lengua.</t>
        </is>
      </c>
      <c r="J39" s="23">
        <f>IF(C39="","",IFERROR(VLOOKUP(C39,Alumnado!$B$7:$C$46,2,FALSE),"?"))</f>
        <v/>
      </c>
      <c r="K39" s="23">
        <f>IF(OR(C39="",H39=""),"",REPT("★",H39)&amp;REPT("☆",5-H39))</f>
        <v/>
      </c>
      <c r="L39" s="23">
        <f>IF(AND(B39="",C39="",D39=""),"",IF(C39="","Falta alumno/a",IF(ISNA(MATCH(C39,Alumnado!$B$7:$B$46,0)),"Alumno/a no está en la lista",IF(D39="","Falta título",IF(B39="","Falta fecha",IF(OR(B39&lt;Panel!$C$9,B39&gt;Panel!$C$10),"Fuera del curso",IF(G39="","Faltan páginas",IF(H39="","Sin valorar","OK"))))))))</f>
        <v/>
      </c>
    </row>
    <row r="40" ht="20" customHeight="1">
      <c r="B40" s="10" t="n">
        <v>46072</v>
      </c>
      <c r="C40" s="12" t="inlineStr">
        <is>
          <t>Sofía Lozano</t>
        </is>
      </c>
      <c r="D40" s="12" t="inlineStr">
        <is>
          <t>El camino</t>
        </is>
      </c>
      <c r="E40" s="12" t="inlineStr">
        <is>
          <t>Miguel Delibes</t>
        </is>
      </c>
      <c r="F40" s="12" t="inlineStr">
        <is>
          <t>Novela juvenil</t>
        </is>
      </c>
      <c r="G40" s="31" t="n">
        <v>224</v>
      </c>
      <c r="H40" s="13" t="n">
        <v>3</v>
      </c>
      <c r="I40" s="12" t="n"/>
      <c r="J40" s="23">
        <f>IF(C40="","",IFERROR(VLOOKUP(C40,Alumnado!$B$7:$C$46,2,FALSE),"?"))</f>
        <v/>
      </c>
      <c r="K40" s="23">
        <f>IF(OR(C40="",H40=""),"",REPT("★",H40)&amp;REPT("☆",5-H40))</f>
        <v/>
      </c>
      <c r="L40" s="23">
        <f>IF(AND(B40="",C40="",D40=""),"",IF(C40="","Falta alumno/a",IF(ISNA(MATCH(C40,Alumnado!$B$7:$B$46,0)),"Alumno/a no está en la lista",IF(D40="","Falta título",IF(B40="","Falta fecha",IF(OR(B40&lt;Panel!$C$9,B40&gt;Panel!$C$10),"Fuera del curso",IF(G40="","Faltan páginas",IF(H40="","Sin valorar","OK"))))))))</f>
        <v/>
      </c>
    </row>
    <row r="41" ht="20" customHeight="1">
      <c r="B41" s="10" t="n">
        <v>46073</v>
      </c>
      <c r="C41" s="12" t="inlineStr">
        <is>
          <t>Carmen Soler</t>
        </is>
      </c>
      <c r="D41" s="12" t="inlineStr">
        <is>
          <t>Yo soy Malala</t>
        </is>
      </c>
      <c r="E41" s="12" t="inlineStr">
        <is>
          <t>Malala Yousafzai</t>
        </is>
      </c>
      <c r="F41" s="12" t="inlineStr">
        <is>
          <t>No ficción</t>
        </is>
      </c>
      <c r="G41" s="31" t="n">
        <v>272</v>
      </c>
      <c r="H41" s="13" t="n">
        <v>5</v>
      </c>
      <c r="I41" s="12" t="n"/>
      <c r="J41" s="23">
        <f>IF(C41="","",IFERROR(VLOOKUP(C41,Alumnado!$B$7:$C$46,2,FALSE),"?"))</f>
        <v/>
      </c>
      <c r="K41" s="23">
        <f>IF(OR(C41="",H41=""),"",REPT("★",H41)&amp;REPT("☆",5-H41))</f>
        <v/>
      </c>
      <c r="L41" s="23">
        <f>IF(AND(B41="",C41="",D41=""),"",IF(C41="","Falta alumno/a",IF(ISNA(MATCH(C41,Alumnado!$B$7:$B$46,0)),"Alumno/a no está en la lista",IF(D41="","Falta título",IF(B41="","Falta fecha",IF(OR(B41&lt;Panel!$C$9,B41&gt;Panel!$C$10),"Fuera del curso",IF(G41="","Faltan páginas",IF(H41="","Sin valorar","OK"))))))))</f>
        <v/>
      </c>
    </row>
    <row r="42" ht="20" customHeight="1">
      <c r="B42" s="10" t="n">
        <v>46077</v>
      </c>
      <c r="C42" s="12" t="inlineStr">
        <is>
          <t>Irene Vidal</t>
        </is>
      </c>
      <c r="D42" s="12" t="inlineStr">
        <is>
          <t>Mujercitas</t>
        </is>
      </c>
      <c r="E42" s="12" t="inlineStr">
        <is>
          <t>Louisa May Alcott</t>
        </is>
      </c>
      <c r="F42" s="12" t="inlineStr">
        <is>
          <t>Novela juvenil</t>
        </is>
      </c>
      <c r="G42" s="31" t="n">
        <v>400</v>
      </c>
      <c r="H42" s="13" t="n">
        <v>4</v>
      </c>
      <c r="I42" s="12" t="n"/>
      <c r="J42" s="23">
        <f>IF(C42="","",IFERROR(VLOOKUP(C42,Alumnado!$B$7:$C$46,2,FALSE),"?"))</f>
        <v/>
      </c>
      <c r="K42" s="23">
        <f>IF(OR(C42="",H42=""),"",REPT("★",H42)&amp;REPT("☆",5-H42))</f>
        <v/>
      </c>
      <c r="L42" s="23">
        <f>IF(AND(B42="",C42="",D42=""),"",IF(C42="","Falta alumno/a",IF(ISNA(MATCH(C42,Alumnado!$B$7:$B$46,0)),"Alumno/a no está en la lista",IF(D42="","Falta título",IF(B42="","Falta fecha",IF(OR(B42&lt;Panel!$C$9,B42&gt;Panel!$C$10),"Fuera del curso",IF(G42="","Faltan páginas",IF(H42="","Sin valorar","OK"))))))))</f>
        <v/>
      </c>
    </row>
    <row r="43" ht="20" customHeight="1">
      <c r="B43" s="10" t="n">
        <v>46079</v>
      </c>
      <c r="C43" s="12" t="inlineStr">
        <is>
          <t>Noa Herrero</t>
        </is>
      </c>
      <c r="D43" s="12" t="inlineStr">
        <is>
          <t>El diario de Ana Frank</t>
        </is>
      </c>
      <c r="E43" s="12" t="inlineStr">
        <is>
          <t>Ana Frank</t>
        </is>
      </c>
      <c r="F43" s="12" t="inlineStr">
        <is>
          <t>No ficción</t>
        </is>
      </c>
      <c r="G43" s="31" t="n">
        <v>352</v>
      </c>
      <c r="H43" s="13" t="n">
        <v>4</v>
      </c>
      <c r="I43" s="12" t="n"/>
      <c r="J43" s="23">
        <f>IF(C43="","",IFERROR(VLOOKUP(C43,Alumnado!$B$7:$C$46,2,FALSE),"?"))</f>
        <v/>
      </c>
      <c r="K43" s="23">
        <f>IF(OR(C43="",H43=""),"",REPT("★",H43)&amp;REPT("☆",5-H43))</f>
        <v/>
      </c>
      <c r="L43" s="23">
        <f>IF(AND(B43="",C43="",D43=""),"",IF(C43="","Falta alumno/a",IF(ISNA(MATCH(C43,Alumnado!$B$7:$B$46,0)),"Alumno/a no está en la lista",IF(D43="","Falta título",IF(B43="","Falta fecha",IF(OR(B43&lt;Panel!$C$9,B43&gt;Panel!$C$10),"Fuera del curso",IF(G43="","Faltan páginas",IF(H43="","Sin valorar","OK"))))))))</f>
        <v/>
      </c>
    </row>
    <row r="44" ht="20" customHeight="1">
      <c r="B44" s="10" t="n"/>
      <c r="C44" s="12" t="n"/>
      <c r="D44" s="12" t="n"/>
      <c r="E44" s="12" t="n"/>
      <c r="F44" s="12" t="n"/>
      <c r="G44" s="31" t="n"/>
      <c r="H44" s="13" t="n"/>
      <c r="I44" s="12" t="n"/>
      <c r="J44" s="23">
        <f>IF(C44="","",IFERROR(VLOOKUP(C44,Alumnado!$B$7:$C$46,2,FALSE),"?"))</f>
        <v/>
      </c>
      <c r="K44" s="23">
        <f>IF(OR(C44="",H44=""),"",REPT("★",H44)&amp;REPT("☆",5-H44))</f>
        <v/>
      </c>
      <c r="L44" s="23">
        <f>IF(AND(B44="",C44="",D44=""),"",IF(C44="","Falta alumno/a",IF(ISNA(MATCH(C44,Alumnado!$B$7:$B$46,0)),"Alumno/a no está en la lista",IF(D44="","Falta título",IF(B44="","Falta fecha",IF(OR(B44&lt;Panel!$C$9,B44&gt;Panel!$C$10),"Fuera del curso",IF(G44="","Faltan páginas",IF(H44="","Sin valorar","OK"))))))))</f>
        <v/>
      </c>
    </row>
    <row r="45" ht="20" customHeight="1">
      <c r="B45" s="10" t="n"/>
      <c r="C45" s="12" t="n"/>
      <c r="D45" s="12" t="n"/>
      <c r="E45" s="12" t="n"/>
      <c r="F45" s="12" t="n"/>
      <c r="G45" s="31" t="n"/>
      <c r="H45" s="13" t="n"/>
      <c r="I45" s="12" t="n"/>
      <c r="J45" s="23">
        <f>IF(C45="","",IFERROR(VLOOKUP(C45,Alumnado!$B$7:$C$46,2,FALSE),"?"))</f>
        <v/>
      </c>
      <c r="K45" s="23">
        <f>IF(OR(C45="",H45=""),"",REPT("★",H45)&amp;REPT("☆",5-H45))</f>
        <v/>
      </c>
      <c r="L45" s="23">
        <f>IF(AND(B45="",C45="",D45=""),"",IF(C45="","Falta alumno/a",IF(ISNA(MATCH(C45,Alumnado!$B$7:$B$46,0)),"Alumno/a no está en la lista",IF(D45="","Falta título",IF(B45="","Falta fecha",IF(OR(B45&lt;Panel!$C$9,B45&gt;Panel!$C$10),"Fuera del curso",IF(G45="","Faltan páginas",IF(H45="","Sin valorar","OK"))))))))</f>
        <v/>
      </c>
    </row>
    <row r="46" ht="20" customHeight="1">
      <c r="B46" s="10" t="n"/>
      <c r="C46" s="12" t="n"/>
      <c r="D46" s="12" t="n"/>
      <c r="E46" s="12" t="n"/>
      <c r="F46" s="12" t="n"/>
      <c r="G46" s="31" t="n"/>
      <c r="H46" s="13" t="n"/>
      <c r="I46" s="12" t="n"/>
      <c r="J46" s="23">
        <f>IF(C46="","",IFERROR(VLOOKUP(C46,Alumnado!$B$7:$C$46,2,FALSE),"?"))</f>
        <v/>
      </c>
      <c r="K46" s="23">
        <f>IF(OR(C46="",H46=""),"",REPT("★",H46)&amp;REPT("☆",5-H46))</f>
        <v/>
      </c>
      <c r="L46" s="23">
        <f>IF(AND(B46="",C46="",D46=""),"",IF(C46="","Falta alumno/a",IF(ISNA(MATCH(C46,Alumnado!$B$7:$B$46,0)),"Alumno/a no está en la lista",IF(D46="","Falta título",IF(B46="","Falta fecha",IF(OR(B46&lt;Panel!$C$9,B46&gt;Panel!$C$10),"Fuera del curso",IF(G46="","Faltan páginas",IF(H46="","Sin valorar","OK"))))))))</f>
        <v/>
      </c>
    </row>
    <row r="47" ht="20" customHeight="1">
      <c r="B47" s="10" t="n"/>
      <c r="C47" s="12" t="n"/>
      <c r="D47" s="12" t="n"/>
      <c r="E47" s="12" t="n"/>
      <c r="F47" s="12" t="n"/>
      <c r="G47" s="31" t="n"/>
      <c r="H47" s="13" t="n"/>
      <c r="I47" s="12" t="n"/>
      <c r="J47" s="23">
        <f>IF(C47="","",IFERROR(VLOOKUP(C47,Alumnado!$B$7:$C$46,2,FALSE),"?"))</f>
        <v/>
      </c>
      <c r="K47" s="23">
        <f>IF(OR(C47="",H47=""),"",REPT("★",H47)&amp;REPT("☆",5-H47))</f>
        <v/>
      </c>
      <c r="L47" s="23">
        <f>IF(AND(B47="",C47="",D47=""),"",IF(C47="","Falta alumno/a",IF(ISNA(MATCH(C47,Alumnado!$B$7:$B$46,0)),"Alumno/a no está en la lista",IF(D47="","Falta título",IF(B47="","Falta fecha",IF(OR(B47&lt;Panel!$C$9,B47&gt;Panel!$C$10),"Fuera del curso",IF(G47="","Faltan páginas",IF(H47="","Sin valorar","OK"))))))))</f>
        <v/>
      </c>
    </row>
    <row r="48" ht="20" customHeight="1">
      <c r="B48" s="10" t="n"/>
      <c r="C48" s="12" t="n"/>
      <c r="D48" s="12" t="n"/>
      <c r="E48" s="12" t="n"/>
      <c r="F48" s="12" t="n"/>
      <c r="G48" s="31" t="n"/>
      <c r="H48" s="13" t="n"/>
      <c r="I48" s="12" t="n"/>
      <c r="J48" s="23">
        <f>IF(C48="","",IFERROR(VLOOKUP(C48,Alumnado!$B$7:$C$46,2,FALSE),"?"))</f>
        <v/>
      </c>
      <c r="K48" s="23">
        <f>IF(OR(C48="",H48=""),"",REPT("★",H48)&amp;REPT("☆",5-H48))</f>
        <v/>
      </c>
      <c r="L48" s="23">
        <f>IF(AND(B48="",C48="",D48=""),"",IF(C48="","Falta alumno/a",IF(ISNA(MATCH(C48,Alumnado!$B$7:$B$46,0)),"Alumno/a no está en la lista",IF(D48="","Falta título",IF(B48="","Falta fecha",IF(OR(B48&lt;Panel!$C$9,B48&gt;Panel!$C$10),"Fuera del curso",IF(G48="","Faltan páginas",IF(H48="","Sin valorar","OK"))))))))</f>
        <v/>
      </c>
    </row>
    <row r="49" ht="20" customHeight="1">
      <c r="B49" s="10" t="n"/>
      <c r="C49" s="12" t="n"/>
      <c r="D49" s="12" t="n"/>
      <c r="E49" s="12" t="n"/>
      <c r="F49" s="12" t="n"/>
      <c r="G49" s="31" t="n"/>
      <c r="H49" s="13" t="n"/>
      <c r="I49" s="12" t="n"/>
      <c r="J49" s="23">
        <f>IF(C49="","",IFERROR(VLOOKUP(C49,Alumnado!$B$7:$C$46,2,FALSE),"?"))</f>
        <v/>
      </c>
      <c r="K49" s="23">
        <f>IF(OR(C49="",H49=""),"",REPT("★",H49)&amp;REPT("☆",5-H49))</f>
        <v/>
      </c>
      <c r="L49" s="23">
        <f>IF(AND(B49="",C49="",D49=""),"",IF(C49="","Falta alumno/a",IF(ISNA(MATCH(C49,Alumnado!$B$7:$B$46,0)),"Alumno/a no está en la lista",IF(D49="","Falta título",IF(B49="","Falta fecha",IF(OR(B49&lt;Panel!$C$9,B49&gt;Panel!$C$10),"Fuera del curso",IF(G49="","Faltan páginas",IF(H49="","Sin valorar","OK"))))))))</f>
        <v/>
      </c>
    </row>
    <row r="50" ht="20" customHeight="1">
      <c r="B50" s="10" t="n"/>
      <c r="C50" s="12" t="n"/>
      <c r="D50" s="12" t="n"/>
      <c r="E50" s="12" t="n"/>
      <c r="F50" s="12" t="n"/>
      <c r="G50" s="31" t="n"/>
      <c r="H50" s="13" t="n"/>
      <c r="I50" s="12" t="n"/>
      <c r="J50" s="23">
        <f>IF(C50="","",IFERROR(VLOOKUP(C50,Alumnado!$B$7:$C$46,2,FALSE),"?"))</f>
        <v/>
      </c>
      <c r="K50" s="23">
        <f>IF(OR(C50="",H50=""),"",REPT("★",H50)&amp;REPT("☆",5-H50))</f>
        <v/>
      </c>
      <c r="L50" s="23">
        <f>IF(AND(B50="",C50="",D50=""),"",IF(C50="","Falta alumno/a",IF(ISNA(MATCH(C50,Alumnado!$B$7:$B$46,0)),"Alumno/a no está en la lista",IF(D50="","Falta título",IF(B50="","Falta fecha",IF(OR(B50&lt;Panel!$C$9,B50&gt;Panel!$C$10),"Fuera del curso",IF(G50="","Faltan páginas",IF(H50="","Sin valorar","OK"))))))))</f>
        <v/>
      </c>
    </row>
    <row r="51" ht="20" customHeight="1">
      <c r="B51" s="10" t="n"/>
      <c r="C51" s="12" t="n"/>
      <c r="D51" s="12" t="n"/>
      <c r="E51" s="12" t="n"/>
      <c r="F51" s="12" t="n"/>
      <c r="G51" s="31" t="n"/>
      <c r="H51" s="13" t="n"/>
      <c r="I51" s="12" t="n"/>
      <c r="J51" s="23">
        <f>IF(C51="","",IFERROR(VLOOKUP(C51,Alumnado!$B$7:$C$46,2,FALSE),"?"))</f>
        <v/>
      </c>
      <c r="K51" s="23">
        <f>IF(OR(C51="",H51=""),"",REPT("★",H51)&amp;REPT("☆",5-H51))</f>
        <v/>
      </c>
      <c r="L51" s="23">
        <f>IF(AND(B51="",C51="",D51=""),"",IF(C51="","Falta alumno/a",IF(ISNA(MATCH(C51,Alumnado!$B$7:$B$46,0)),"Alumno/a no está en la lista",IF(D51="","Falta título",IF(B51="","Falta fecha",IF(OR(B51&lt;Panel!$C$9,B51&gt;Panel!$C$10),"Fuera del curso",IF(G51="","Faltan páginas",IF(H51="","Sin valorar","OK"))))))))</f>
        <v/>
      </c>
    </row>
    <row r="52" ht="20" customHeight="1">
      <c r="B52" s="10" t="n"/>
      <c r="C52" s="12" t="n"/>
      <c r="D52" s="12" t="n"/>
      <c r="E52" s="12" t="n"/>
      <c r="F52" s="12" t="n"/>
      <c r="G52" s="31" t="n"/>
      <c r="H52" s="13" t="n"/>
      <c r="I52" s="12" t="n"/>
      <c r="J52" s="23">
        <f>IF(C52="","",IFERROR(VLOOKUP(C52,Alumnado!$B$7:$C$46,2,FALSE),"?"))</f>
        <v/>
      </c>
      <c r="K52" s="23">
        <f>IF(OR(C52="",H52=""),"",REPT("★",H52)&amp;REPT("☆",5-H52))</f>
        <v/>
      </c>
      <c r="L52" s="23">
        <f>IF(AND(B52="",C52="",D52=""),"",IF(C52="","Falta alumno/a",IF(ISNA(MATCH(C52,Alumnado!$B$7:$B$46,0)),"Alumno/a no está en la lista",IF(D52="","Falta título",IF(B52="","Falta fecha",IF(OR(B52&lt;Panel!$C$9,B52&gt;Panel!$C$10),"Fuera del curso",IF(G52="","Faltan páginas",IF(H52="","Sin valorar","OK"))))))))</f>
        <v/>
      </c>
    </row>
    <row r="53" ht="20" customHeight="1">
      <c r="B53" s="10" t="n"/>
      <c r="C53" s="12" t="n"/>
      <c r="D53" s="12" t="n"/>
      <c r="E53" s="12" t="n"/>
      <c r="F53" s="12" t="n"/>
      <c r="G53" s="31" t="n"/>
      <c r="H53" s="13" t="n"/>
      <c r="I53" s="12" t="n"/>
      <c r="J53" s="23">
        <f>IF(C53="","",IFERROR(VLOOKUP(C53,Alumnado!$B$7:$C$46,2,FALSE),"?"))</f>
        <v/>
      </c>
      <c r="K53" s="23">
        <f>IF(OR(C53="",H53=""),"",REPT("★",H53)&amp;REPT("☆",5-H53))</f>
        <v/>
      </c>
      <c r="L53" s="23">
        <f>IF(AND(B53="",C53="",D53=""),"",IF(C53="","Falta alumno/a",IF(ISNA(MATCH(C53,Alumnado!$B$7:$B$46,0)),"Alumno/a no está en la lista",IF(D53="","Falta título",IF(B53="","Falta fecha",IF(OR(B53&lt;Panel!$C$9,B53&gt;Panel!$C$10),"Fuera del curso",IF(G53="","Faltan páginas",IF(H53="","Sin valorar","OK"))))))))</f>
        <v/>
      </c>
    </row>
    <row r="54" ht="20" customHeight="1">
      <c r="B54" s="10" t="n"/>
      <c r="C54" s="12" t="n"/>
      <c r="D54" s="12" t="n"/>
      <c r="E54" s="12" t="n"/>
      <c r="F54" s="12" t="n"/>
      <c r="G54" s="31" t="n"/>
      <c r="H54" s="13" t="n"/>
      <c r="I54" s="12" t="n"/>
      <c r="J54" s="23">
        <f>IF(C54="","",IFERROR(VLOOKUP(C54,Alumnado!$B$7:$C$46,2,FALSE),"?"))</f>
        <v/>
      </c>
      <c r="K54" s="23">
        <f>IF(OR(C54="",H54=""),"",REPT("★",H54)&amp;REPT("☆",5-H54))</f>
        <v/>
      </c>
      <c r="L54" s="23">
        <f>IF(AND(B54="",C54="",D54=""),"",IF(C54="","Falta alumno/a",IF(ISNA(MATCH(C54,Alumnado!$B$7:$B$46,0)),"Alumno/a no está en la lista",IF(D54="","Falta título",IF(B54="","Falta fecha",IF(OR(B54&lt;Panel!$C$9,B54&gt;Panel!$C$10),"Fuera del curso",IF(G54="","Faltan páginas",IF(H54="","Sin valorar","OK"))))))))</f>
        <v/>
      </c>
    </row>
    <row r="55" ht="20" customHeight="1">
      <c r="B55" s="10" t="n"/>
      <c r="C55" s="12" t="n"/>
      <c r="D55" s="12" t="n"/>
      <c r="E55" s="12" t="n"/>
      <c r="F55" s="12" t="n"/>
      <c r="G55" s="31" t="n"/>
      <c r="H55" s="13" t="n"/>
      <c r="I55" s="12" t="n"/>
      <c r="J55" s="23">
        <f>IF(C55="","",IFERROR(VLOOKUP(C55,Alumnado!$B$7:$C$46,2,FALSE),"?"))</f>
        <v/>
      </c>
      <c r="K55" s="23">
        <f>IF(OR(C55="",H55=""),"",REPT("★",H55)&amp;REPT("☆",5-H55))</f>
        <v/>
      </c>
      <c r="L55" s="23">
        <f>IF(AND(B55="",C55="",D55=""),"",IF(C55="","Falta alumno/a",IF(ISNA(MATCH(C55,Alumnado!$B$7:$B$46,0)),"Alumno/a no está en la lista",IF(D55="","Falta título",IF(B55="","Falta fecha",IF(OR(B55&lt;Panel!$C$9,B55&gt;Panel!$C$10),"Fuera del curso",IF(G55="","Faltan páginas",IF(H55="","Sin valorar","OK"))))))))</f>
        <v/>
      </c>
    </row>
    <row r="56" ht="20" customHeight="1">
      <c r="B56" s="10" t="n"/>
      <c r="C56" s="12" t="n"/>
      <c r="D56" s="12" t="n"/>
      <c r="E56" s="12" t="n"/>
      <c r="F56" s="12" t="n"/>
      <c r="G56" s="31" t="n"/>
      <c r="H56" s="13" t="n"/>
      <c r="I56" s="12" t="n"/>
      <c r="J56" s="23">
        <f>IF(C56="","",IFERROR(VLOOKUP(C56,Alumnado!$B$7:$C$46,2,FALSE),"?"))</f>
        <v/>
      </c>
      <c r="K56" s="23">
        <f>IF(OR(C56="",H56=""),"",REPT("★",H56)&amp;REPT("☆",5-H56))</f>
        <v/>
      </c>
      <c r="L56" s="23">
        <f>IF(AND(B56="",C56="",D56=""),"",IF(C56="","Falta alumno/a",IF(ISNA(MATCH(C56,Alumnado!$B$7:$B$46,0)),"Alumno/a no está en la lista",IF(D56="","Falta título",IF(B56="","Falta fecha",IF(OR(B56&lt;Panel!$C$9,B56&gt;Panel!$C$10),"Fuera del curso",IF(G56="","Faltan páginas",IF(H56="","Sin valorar","OK"))))))))</f>
        <v/>
      </c>
    </row>
    <row r="57" ht="20" customHeight="1">
      <c r="B57" s="10" t="n"/>
      <c r="C57" s="12" t="n"/>
      <c r="D57" s="12" t="n"/>
      <c r="E57" s="12" t="n"/>
      <c r="F57" s="12" t="n"/>
      <c r="G57" s="31" t="n"/>
      <c r="H57" s="13" t="n"/>
      <c r="I57" s="12" t="n"/>
      <c r="J57" s="23">
        <f>IF(C57="","",IFERROR(VLOOKUP(C57,Alumnado!$B$7:$C$46,2,FALSE),"?"))</f>
        <v/>
      </c>
      <c r="K57" s="23">
        <f>IF(OR(C57="",H57=""),"",REPT("★",H57)&amp;REPT("☆",5-H57))</f>
        <v/>
      </c>
      <c r="L57" s="23">
        <f>IF(AND(B57="",C57="",D57=""),"",IF(C57="","Falta alumno/a",IF(ISNA(MATCH(C57,Alumnado!$B$7:$B$46,0)),"Alumno/a no está en la lista",IF(D57="","Falta título",IF(B57="","Falta fecha",IF(OR(B57&lt;Panel!$C$9,B57&gt;Panel!$C$10),"Fuera del curso",IF(G57="","Faltan páginas",IF(H57="","Sin valorar","OK"))))))))</f>
        <v/>
      </c>
    </row>
    <row r="58" ht="20" customHeight="1">
      <c r="B58" s="10" t="n"/>
      <c r="C58" s="12" t="n"/>
      <c r="D58" s="12" t="n"/>
      <c r="E58" s="12" t="n"/>
      <c r="F58" s="12" t="n"/>
      <c r="G58" s="31" t="n"/>
      <c r="H58" s="13" t="n"/>
      <c r="I58" s="12" t="n"/>
      <c r="J58" s="23">
        <f>IF(C58="","",IFERROR(VLOOKUP(C58,Alumnado!$B$7:$C$46,2,FALSE),"?"))</f>
        <v/>
      </c>
      <c r="K58" s="23">
        <f>IF(OR(C58="",H58=""),"",REPT("★",H58)&amp;REPT("☆",5-H58))</f>
        <v/>
      </c>
      <c r="L58" s="23">
        <f>IF(AND(B58="",C58="",D58=""),"",IF(C58="","Falta alumno/a",IF(ISNA(MATCH(C58,Alumnado!$B$7:$B$46,0)),"Alumno/a no está en la lista",IF(D58="","Falta título",IF(B58="","Falta fecha",IF(OR(B58&lt;Panel!$C$9,B58&gt;Panel!$C$10),"Fuera del curso",IF(G58="","Faltan páginas",IF(H58="","Sin valorar","OK"))))))))</f>
        <v/>
      </c>
    </row>
    <row r="59" ht="20" customHeight="1">
      <c r="B59" s="10" t="n"/>
      <c r="C59" s="12" t="n"/>
      <c r="D59" s="12" t="n"/>
      <c r="E59" s="12" t="n"/>
      <c r="F59" s="12" t="n"/>
      <c r="G59" s="31" t="n"/>
      <c r="H59" s="13" t="n"/>
      <c r="I59" s="12" t="n"/>
      <c r="J59" s="23">
        <f>IF(C59="","",IFERROR(VLOOKUP(C59,Alumnado!$B$7:$C$46,2,FALSE),"?"))</f>
        <v/>
      </c>
      <c r="K59" s="23">
        <f>IF(OR(C59="",H59=""),"",REPT("★",H59)&amp;REPT("☆",5-H59))</f>
        <v/>
      </c>
      <c r="L59" s="23">
        <f>IF(AND(B59="",C59="",D59=""),"",IF(C59="","Falta alumno/a",IF(ISNA(MATCH(C59,Alumnado!$B$7:$B$46,0)),"Alumno/a no está en la lista",IF(D59="","Falta título",IF(B59="","Falta fecha",IF(OR(B59&lt;Panel!$C$9,B59&gt;Panel!$C$10),"Fuera del curso",IF(G59="","Faltan páginas",IF(H59="","Sin valorar","OK"))))))))</f>
        <v/>
      </c>
    </row>
    <row r="60" ht="20" customHeight="1">
      <c r="B60" s="10" t="n"/>
      <c r="C60" s="12" t="n"/>
      <c r="D60" s="12" t="n"/>
      <c r="E60" s="12" t="n"/>
      <c r="F60" s="12" t="n"/>
      <c r="G60" s="31" t="n"/>
      <c r="H60" s="13" t="n"/>
      <c r="I60" s="12" t="n"/>
      <c r="J60" s="23">
        <f>IF(C60="","",IFERROR(VLOOKUP(C60,Alumnado!$B$7:$C$46,2,FALSE),"?"))</f>
        <v/>
      </c>
      <c r="K60" s="23">
        <f>IF(OR(C60="",H60=""),"",REPT("★",H60)&amp;REPT("☆",5-H60))</f>
        <v/>
      </c>
      <c r="L60" s="23">
        <f>IF(AND(B60="",C60="",D60=""),"",IF(C60="","Falta alumno/a",IF(ISNA(MATCH(C60,Alumnado!$B$7:$B$46,0)),"Alumno/a no está en la lista",IF(D60="","Falta título",IF(B60="","Falta fecha",IF(OR(B60&lt;Panel!$C$9,B60&gt;Panel!$C$10),"Fuera del curso",IF(G60="","Faltan páginas",IF(H60="","Sin valorar","OK"))))))))</f>
        <v/>
      </c>
    </row>
    <row r="61" ht="20" customHeight="1">
      <c r="B61" s="10" t="n"/>
      <c r="C61" s="12" t="n"/>
      <c r="D61" s="12" t="n"/>
      <c r="E61" s="12" t="n"/>
      <c r="F61" s="12" t="n"/>
      <c r="G61" s="31" t="n"/>
      <c r="H61" s="13" t="n"/>
      <c r="I61" s="12" t="n"/>
      <c r="J61" s="23">
        <f>IF(C61="","",IFERROR(VLOOKUP(C61,Alumnado!$B$7:$C$46,2,FALSE),"?"))</f>
        <v/>
      </c>
      <c r="K61" s="23">
        <f>IF(OR(C61="",H61=""),"",REPT("★",H61)&amp;REPT("☆",5-H61))</f>
        <v/>
      </c>
      <c r="L61" s="23">
        <f>IF(AND(B61="",C61="",D61=""),"",IF(C61="","Falta alumno/a",IF(ISNA(MATCH(C61,Alumnado!$B$7:$B$46,0)),"Alumno/a no está en la lista",IF(D61="","Falta título",IF(B61="","Falta fecha",IF(OR(B61&lt;Panel!$C$9,B61&gt;Panel!$C$10),"Fuera del curso",IF(G61="","Faltan páginas",IF(H61="","Sin valorar","OK"))))))))</f>
        <v/>
      </c>
    </row>
    <row r="62" ht="20" customHeight="1">
      <c r="B62" s="10" t="n"/>
      <c r="C62" s="12" t="n"/>
      <c r="D62" s="12" t="n"/>
      <c r="E62" s="12" t="n"/>
      <c r="F62" s="12" t="n"/>
      <c r="G62" s="31" t="n"/>
      <c r="H62" s="13" t="n"/>
      <c r="I62" s="12" t="n"/>
      <c r="J62" s="23">
        <f>IF(C62="","",IFERROR(VLOOKUP(C62,Alumnado!$B$7:$C$46,2,FALSE),"?"))</f>
        <v/>
      </c>
      <c r="K62" s="23">
        <f>IF(OR(C62="",H62=""),"",REPT("★",H62)&amp;REPT("☆",5-H62))</f>
        <v/>
      </c>
      <c r="L62" s="23">
        <f>IF(AND(B62="",C62="",D62=""),"",IF(C62="","Falta alumno/a",IF(ISNA(MATCH(C62,Alumnado!$B$7:$B$46,0)),"Alumno/a no está en la lista",IF(D62="","Falta título",IF(B62="","Falta fecha",IF(OR(B62&lt;Panel!$C$9,B62&gt;Panel!$C$10),"Fuera del curso",IF(G62="","Faltan páginas",IF(H62="","Sin valorar","OK"))))))))</f>
        <v/>
      </c>
    </row>
    <row r="63" ht="20" customHeight="1">
      <c r="B63" s="10" t="n"/>
      <c r="C63" s="12" t="n"/>
      <c r="D63" s="12" t="n"/>
      <c r="E63" s="12" t="n"/>
      <c r="F63" s="12" t="n"/>
      <c r="G63" s="31" t="n"/>
      <c r="H63" s="13" t="n"/>
      <c r="I63" s="12" t="n"/>
      <c r="J63" s="23">
        <f>IF(C63="","",IFERROR(VLOOKUP(C63,Alumnado!$B$7:$C$46,2,FALSE),"?"))</f>
        <v/>
      </c>
      <c r="K63" s="23">
        <f>IF(OR(C63="",H63=""),"",REPT("★",H63)&amp;REPT("☆",5-H63))</f>
        <v/>
      </c>
      <c r="L63" s="23">
        <f>IF(AND(B63="",C63="",D63=""),"",IF(C63="","Falta alumno/a",IF(ISNA(MATCH(C63,Alumnado!$B$7:$B$46,0)),"Alumno/a no está en la lista",IF(D63="","Falta título",IF(B63="","Falta fecha",IF(OR(B63&lt;Panel!$C$9,B63&gt;Panel!$C$10),"Fuera del curso",IF(G63="","Faltan páginas",IF(H63="","Sin valorar","OK"))))))))</f>
        <v/>
      </c>
    </row>
    <row r="64" ht="20" customHeight="1">
      <c r="B64" s="10" t="n"/>
      <c r="C64" s="12" t="n"/>
      <c r="D64" s="12" t="n"/>
      <c r="E64" s="12" t="n"/>
      <c r="F64" s="12" t="n"/>
      <c r="G64" s="31" t="n"/>
      <c r="H64" s="13" t="n"/>
      <c r="I64" s="12" t="n"/>
      <c r="J64" s="23">
        <f>IF(C64="","",IFERROR(VLOOKUP(C64,Alumnado!$B$7:$C$46,2,FALSE),"?"))</f>
        <v/>
      </c>
      <c r="K64" s="23">
        <f>IF(OR(C64="",H64=""),"",REPT("★",H64)&amp;REPT("☆",5-H64))</f>
        <v/>
      </c>
      <c r="L64" s="23">
        <f>IF(AND(B64="",C64="",D64=""),"",IF(C64="","Falta alumno/a",IF(ISNA(MATCH(C64,Alumnado!$B$7:$B$46,0)),"Alumno/a no está en la lista",IF(D64="","Falta título",IF(B64="","Falta fecha",IF(OR(B64&lt;Panel!$C$9,B64&gt;Panel!$C$10),"Fuera del curso",IF(G64="","Faltan páginas",IF(H64="","Sin valorar","OK"))))))))</f>
        <v/>
      </c>
    </row>
    <row r="65" ht="20" customHeight="1">
      <c r="B65" s="10" t="n"/>
      <c r="C65" s="12" t="n"/>
      <c r="D65" s="12" t="n"/>
      <c r="E65" s="12" t="n"/>
      <c r="F65" s="12" t="n"/>
      <c r="G65" s="31" t="n"/>
      <c r="H65" s="13" t="n"/>
      <c r="I65" s="12" t="n"/>
      <c r="J65" s="23">
        <f>IF(C65="","",IFERROR(VLOOKUP(C65,Alumnado!$B$7:$C$46,2,FALSE),"?"))</f>
        <v/>
      </c>
      <c r="K65" s="23">
        <f>IF(OR(C65="",H65=""),"",REPT("★",H65)&amp;REPT("☆",5-H65))</f>
        <v/>
      </c>
      <c r="L65" s="23">
        <f>IF(AND(B65="",C65="",D65=""),"",IF(C65="","Falta alumno/a",IF(ISNA(MATCH(C65,Alumnado!$B$7:$B$46,0)),"Alumno/a no está en la lista",IF(D65="","Falta título",IF(B65="","Falta fecha",IF(OR(B65&lt;Panel!$C$9,B65&gt;Panel!$C$10),"Fuera del curso",IF(G65="","Faltan páginas",IF(H65="","Sin valorar","OK"))))))))</f>
        <v/>
      </c>
    </row>
    <row r="66" ht="20" customHeight="1">
      <c r="B66" s="10" t="n"/>
      <c r="C66" s="12" t="n"/>
      <c r="D66" s="12" t="n"/>
      <c r="E66" s="12" t="n"/>
      <c r="F66" s="12" t="n"/>
      <c r="G66" s="31" t="n"/>
      <c r="H66" s="13" t="n"/>
      <c r="I66" s="12" t="n"/>
      <c r="J66" s="23">
        <f>IF(C66="","",IFERROR(VLOOKUP(C66,Alumnado!$B$7:$C$46,2,FALSE),"?"))</f>
        <v/>
      </c>
      <c r="K66" s="23">
        <f>IF(OR(C66="",H66=""),"",REPT("★",H66)&amp;REPT("☆",5-H66))</f>
        <v/>
      </c>
      <c r="L66" s="23">
        <f>IF(AND(B66="",C66="",D66=""),"",IF(C66="","Falta alumno/a",IF(ISNA(MATCH(C66,Alumnado!$B$7:$B$46,0)),"Alumno/a no está en la lista",IF(D66="","Falta título",IF(B66="","Falta fecha",IF(OR(B66&lt;Panel!$C$9,B66&gt;Panel!$C$10),"Fuera del curso",IF(G66="","Faltan páginas",IF(H66="","Sin valorar","OK"))))))))</f>
        <v/>
      </c>
    </row>
    <row r="67" ht="20" customHeight="1">
      <c r="B67" s="10" t="n"/>
      <c r="C67" s="12" t="n"/>
      <c r="D67" s="12" t="n"/>
      <c r="E67" s="12" t="n"/>
      <c r="F67" s="12" t="n"/>
      <c r="G67" s="31" t="n"/>
      <c r="H67" s="13" t="n"/>
      <c r="I67" s="12" t="n"/>
      <c r="J67" s="23">
        <f>IF(C67="","",IFERROR(VLOOKUP(C67,Alumnado!$B$7:$C$46,2,FALSE),"?"))</f>
        <v/>
      </c>
      <c r="K67" s="23">
        <f>IF(OR(C67="",H67=""),"",REPT("★",H67)&amp;REPT("☆",5-H67))</f>
        <v/>
      </c>
      <c r="L67" s="23">
        <f>IF(AND(B67="",C67="",D67=""),"",IF(C67="","Falta alumno/a",IF(ISNA(MATCH(C67,Alumnado!$B$7:$B$46,0)),"Alumno/a no está en la lista",IF(D67="","Falta título",IF(B67="","Falta fecha",IF(OR(B67&lt;Panel!$C$9,B67&gt;Panel!$C$10),"Fuera del curso",IF(G67="","Faltan páginas",IF(H67="","Sin valorar","OK"))))))))</f>
        <v/>
      </c>
    </row>
    <row r="68" ht="20" customHeight="1">
      <c r="B68" s="10" t="n"/>
      <c r="C68" s="12" t="n"/>
      <c r="D68" s="12" t="n"/>
      <c r="E68" s="12" t="n"/>
      <c r="F68" s="12" t="n"/>
      <c r="G68" s="31" t="n"/>
      <c r="H68" s="13" t="n"/>
      <c r="I68" s="12" t="n"/>
      <c r="J68" s="23">
        <f>IF(C68="","",IFERROR(VLOOKUP(C68,Alumnado!$B$7:$C$46,2,FALSE),"?"))</f>
        <v/>
      </c>
      <c r="K68" s="23">
        <f>IF(OR(C68="",H68=""),"",REPT("★",H68)&amp;REPT("☆",5-H68))</f>
        <v/>
      </c>
      <c r="L68" s="23">
        <f>IF(AND(B68="",C68="",D68=""),"",IF(C68="","Falta alumno/a",IF(ISNA(MATCH(C68,Alumnado!$B$7:$B$46,0)),"Alumno/a no está en la lista",IF(D68="","Falta título",IF(B68="","Falta fecha",IF(OR(B68&lt;Panel!$C$9,B68&gt;Panel!$C$10),"Fuera del curso",IF(G68="","Faltan páginas",IF(H68="","Sin valorar","OK"))))))))</f>
        <v/>
      </c>
    </row>
    <row r="69" ht="20" customHeight="1">
      <c r="B69" s="10" t="n"/>
      <c r="C69" s="12" t="n"/>
      <c r="D69" s="12" t="n"/>
      <c r="E69" s="12" t="n"/>
      <c r="F69" s="12" t="n"/>
      <c r="G69" s="31" t="n"/>
      <c r="H69" s="13" t="n"/>
      <c r="I69" s="12" t="n"/>
      <c r="J69" s="23">
        <f>IF(C69="","",IFERROR(VLOOKUP(C69,Alumnado!$B$7:$C$46,2,FALSE),"?"))</f>
        <v/>
      </c>
      <c r="K69" s="23">
        <f>IF(OR(C69="",H69=""),"",REPT("★",H69)&amp;REPT("☆",5-H69))</f>
        <v/>
      </c>
      <c r="L69" s="23">
        <f>IF(AND(B69="",C69="",D69=""),"",IF(C69="","Falta alumno/a",IF(ISNA(MATCH(C69,Alumnado!$B$7:$B$46,0)),"Alumno/a no está en la lista",IF(D69="","Falta título",IF(B69="","Falta fecha",IF(OR(B69&lt;Panel!$C$9,B69&gt;Panel!$C$10),"Fuera del curso",IF(G69="","Faltan páginas",IF(H69="","Sin valorar","OK"))))))))</f>
        <v/>
      </c>
    </row>
    <row r="70" ht="20" customHeight="1">
      <c r="B70" s="10" t="n"/>
      <c r="C70" s="12" t="n"/>
      <c r="D70" s="12" t="n"/>
      <c r="E70" s="12" t="n"/>
      <c r="F70" s="12" t="n"/>
      <c r="G70" s="31" t="n"/>
      <c r="H70" s="13" t="n"/>
      <c r="I70" s="12" t="n"/>
      <c r="J70" s="23">
        <f>IF(C70="","",IFERROR(VLOOKUP(C70,Alumnado!$B$7:$C$46,2,FALSE),"?"))</f>
        <v/>
      </c>
      <c r="K70" s="23">
        <f>IF(OR(C70="",H70=""),"",REPT("★",H70)&amp;REPT("☆",5-H70))</f>
        <v/>
      </c>
      <c r="L70" s="23">
        <f>IF(AND(B70="",C70="",D70=""),"",IF(C70="","Falta alumno/a",IF(ISNA(MATCH(C70,Alumnado!$B$7:$B$46,0)),"Alumno/a no está en la lista",IF(D70="","Falta título",IF(B70="","Falta fecha",IF(OR(B70&lt;Panel!$C$9,B70&gt;Panel!$C$10),"Fuera del curso",IF(G70="","Faltan páginas",IF(H70="","Sin valorar","OK"))))))))</f>
        <v/>
      </c>
    </row>
    <row r="71" ht="20" customHeight="1">
      <c r="B71" s="10" t="n"/>
      <c r="C71" s="12" t="n"/>
      <c r="D71" s="12" t="n"/>
      <c r="E71" s="12" t="n"/>
      <c r="F71" s="12" t="n"/>
      <c r="G71" s="31" t="n"/>
      <c r="H71" s="13" t="n"/>
      <c r="I71" s="12" t="n"/>
      <c r="J71" s="23">
        <f>IF(C71="","",IFERROR(VLOOKUP(C71,Alumnado!$B$7:$C$46,2,FALSE),"?"))</f>
        <v/>
      </c>
      <c r="K71" s="23">
        <f>IF(OR(C71="",H71=""),"",REPT("★",H71)&amp;REPT("☆",5-H71))</f>
        <v/>
      </c>
      <c r="L71" s="23">
        <f>IF(AND(B71="",C71="",D71=""),"",IF(C71="","Falta alumno/a",IF(ISNA(MATCH(C71,Alumnado!$B$7:$B$46,0)),"Alumno/a no está en la lista",IF(D71="","Falta título",IF(B71="","Falta fecha",IF(OR(B71&lt;Panel!$C$9,B71&gt;Panel!$C$10),"Fuera del curso",IF(G71="","Faltan páginas",IF(H71="","Sin valorar","OK"))))))))</f>
        <v/>
      </c>
    </row>
    <row r="72" ht="20" customHeight="1">
      <c r="B72" s="10" t="n"/>
      <c r="C72" s="12" t="n"/>
      <c r="D72" s="12" t="n"/>
      <c r="E72" s="12" t="n"/>
      <c r="F72" s="12" t="n"/>
      <c r="G72" s="31" t="n"/>
      <c r="H72" s="13" t="n"/>
      <c r="I72" s="12" t="n"/>
      <c r="J72" s="23">
        <f>IF(C72="","",IFERROR(VLOOKUP(C72,Alumnado!$B$7:$C$46,2,FALSE),"?"))</f>
        <v/>
      </c>
      <c r="K72" s="23">
        <f>IF(OR(C72="",H72=""),"",REPT("★",H72)&amp;REPT("☆",5-H72))</f>
        <v/>
      </c>
      <c r="L72" s="23">
        <f>IF(AND(B72="",C72="",D72=""),"",IF(C72="","Falta alumno/a",IF(ISNA(MATCH(C72,Alumnado!$B$7:$B$46,0)),"Alumno/a no está en la lista",IF(D72="","Falta título",IF(B72="","Falta fecha",IF(OR(B72&lt;Panel!$C$9,B72&gt;Panel!$C$10),"Fuera del curso",IF(G72="","Faltan páginas",IF(H72="","Sin valorar","OK"))))))))</f>
        <v/>
      </c>
    </row>
    <row r="73" ht="20" customHeight="1">
      <c r="B73" s="10" t="n"/>
      <c r="C73" s="12" t="n"/>
      <c r="D73" s="12" t="n"/>
      <c r="E73" s="12" t="n"/>
      <c r="F73" s="12" t="n"/>
      <c r="G73" s="31" t="n"/>
      <c r="H73" s="13" t="n"/>
      <c r="I73" s="12" t="n"/>
      <c r="J73" s="23">
        <f>IF(C73="","",IFERROR(VLOOKUP(C73,Alumnado!$B$7:$C$46,2,FALSE),"?"))</f>
        <v/>
      </c>
      <c r="K73" s="23">
        <f>IF(OR(C73="",H73=""),"",REPT("★",H73)&amp;REPT("☆",5-H73))</f>
        <v/>
      </c>
      <c r="L73" s="23">
        <f>IF(AND(B73="",C73="",D73=""),"",IF(C73="","Falta alumno/a",IF(ISNA(MATCH(C73,Alumnado!$B$7:$B$46,0)),"Alumno/a no está en la lista",IF(D73="","Falta título",IF(B73="","Falta fecha",IF(OR(B73&lt;Panel!$C$9,B73&gt;Panel!$C$10),"Fuera del curso",IF(G73="","Faltan páginas",IF(H73="","Sin valorar","OK"))))))))</f>
        <v/>
      </c>
    </row>
    <row r="74" ht="20" customHeight="1">
      <c r="B74" s="10" t="n"/>
      <c r="C74" s="12" t="n"/>
      <c r="D74" s="12" t="n"/>
      <c r="E74" s="12" t="n"/>
      <c r="F74" s="12" t="n"/>
      <c r="G74" s="31" t="n"/>
      <c r="H74" s="13" t="n"/>
      <c r="I74" s="12" t="n"/>
      <c r="J74" s="23">
        <f>IF(C74="","",IFERROR(VLOOKUP(C74,Alumnado!$B$7:$C$46,2,FALSE),"?"))</f>
        <v/>
      </c>
      <c r="K74" s="23">
        <f>IF(OR(C74="",H74=""),"",REPT("★",H74)&amp;REPT("☆",5-H74))</f>
        <v/>
      </c>
      <c r="L74" s="23">
        <f>IF(AND(B74="",C74="",D74=""),"",IF(C74="","Falta alumno/a",IF(ISNA(MATCH(C74,Alumnado!$B$7:$B$46,0)),"Alumno/a no está en la lista",IF(D74="","Falta título",IF(B74="","Falta fecha",IF(OR(B74&lt;Panel!$C$9,B74&gt;Panel!$C$10),"Fuera del curso",IF(G74="","Faltan páginas",IF(H74="","Sin valorar","OK"))))))))</f>
        <v/>
      </c>
    </row>
    <row r="75" ht="20" customHeight="1">
      <c r="B75" s="10" t="n"/>
      <c r="C75" s="12" t="n"/>
      <c r="D75" s="12" t="n"/>
      <c r="E75" s="12" t="n"/>
      <c r="F75" s="12" t="n"/>
      <c r="G75" s="31" t="n"/>
      <c r="H75" s="13" t="n"/>
      <c r="I75" s="12" t="n"/>
      <c r="J75" s="23">
        <f>IF(C75="","",IFERROR(VLOOKUP(C75,Alumnado!$B$7:$C$46,2,FALSE),"?"))</f>
        <v/>
      </c>
      <c r="K75" s="23">
        <f>IF(OR(C75="",H75=""),"",REPT("★",H75)&amp;REPT("☆",5-H75))</f>
        <v/>
      </c>
      <c r="L75" s="23">
        <f>IF(AND(B75="",C75="",D75=""),"",IF(C75="","Falta alumno/a",IF(ISNA(MATCH(C75,Alumnado!$B$7:$B$46,0)),"Alumno/a no está en la lista",IF(D75="","Falta título",IF(B75="","Falta fecha",IF(OR(B75&lt;Panel!$C$9,B75&gt;Panel!$C$10),"Fuera del curso",IF(G75="","Faltan páginas",IF(H75="","Sin valorar","OK"))))))))</f>
        <v/>
      </c>
    </row>
    <row r="76" ht="20" customHeight="1">
      <c r="B76" s="10" t="n"/>
      <c r="C76" s="12" t="n"/>
      <c r="D76" s="12" t="n"/>
      <c r="E76" s="12" t="n"/>
      <c r="F76" s="12" t="n"/>
      <c r="G76" s="31" t="n"/>
      <c r="H76" s="13" t="n"/>
      <c r="I76" s="12" t="n"/>
      <c r="J76" s="23">
        <f>IF(C76="","",IFERROR(VLOOKUP(C76,Alumnado!$B$7:$C$46,2,FALSE),"?"))</f>
        <v/>
      </c>
      <c r="K76" s="23">
        <f>IF(OR(C76="",H76=""),"",REPT("★",H76)&amp;REPT("☆",5-H76))</f>
        <v/>
      </c>
      <c r="L76" s="23">
        <f>IF(AND(B76="",C76="",D76=""),"",IF(C76="","Falta alumno/a",IF(ISNA(MATCH(C76,Alumnado!$B$7:$B$46,0)),"Alumno/a no está en la lista",IF(D76="","Falta título",IF(B76="","Falta fecha",IF(OR(B76&lt;Panel!$C$9,B76&gt;Panel!$C$10),"Fuera del curso",IF(G76="","Faltan páginas",IF(H76="","Sin valorar","OK"))))))))</f>
        <v/>
      </c>
    </row>
    <row r="77" ht="20" customHeight="1">
      <c r="B77" s="10" t="n"/>
      <c r="C77" s="12" t="n"/>
      <c r="D77" s="12" t="n"/>
      <c r="E77" s="12" t="n"/>
      <c r="F77" s="12" t="n"/>
      <c r="G77" s="31" t="n"/>
      <c r="H77" s="13" t="n"/>
      <c r="I77" s="12" t="n"/>
      <c r="J77" s="23">
        <f>IF(C77="","",IFERROR(VLOOKUP(C77,Alumnado!$B$7:$C$46,2,FALSE),"?"))</f>
        <v/>
      </c>
      <c r="K77" s="23">
        <f>IF(OR(C77="",H77=""),"",REPT("★",H77)&amp;REPT("☆",5-H77))</f>
        <v/>
      </c>
      <c r="L77" s="23">
        <f>IF(AND(B77="",C77="",D77=""),"",IF(C77="","Falta alumno/a",IF(ISNA(MATCH(C77,Alumnado!$B$7:$B$46,0)),"Alumno/a no está en la lista",IF(D77="","Falta título",IF(B77="","Falta fecha",IF(OR(B77&lt;Panel!$C$9,B77&gt;Panel!$C$10),"Fuera del curso",IF(G77="","Faltan páginas",IF(H77="","Sin valorar","OK"))))))))</f>
        <v/>
      </c>
    </row>
    <row r="78" ht="20" customHeight="1">
      <c r="B78" s="10" t="n"/>
      <c r="C78" s="12" t="n"/>
      <c r="D78" s="12" t="n"/>
      <c r="E78" s="12" t="n"/>
      <c r="F78" s="12" t="n"/>
      <c r="G78" s="31" t="n"/>
      <c r="H78" s="13" t="n"/>
      <c r="I78" s="12" t="n"/>
      <c r="J78" s="23">
        <f>IF(C78="","",IFERROR(VLOOKUP(C78,Alumnado!$B$7:$C$46,2,FALSE),"?"))</f>
        <v/>
      </c>
      <c r="K78" s="23">
        <f>IF(OR(C78="",H78=""),"",REPT("★",H78)&amp;REPT("☆",5-H78))</f>
        <v/>
      </c>
      <c r="L78" s="23">
        <f>IF(AND(B78="",C78="",D78=""),"",IF(C78="","Falta alumno/a",IF(ISNA(MATCH(C78,Alumnado!$B$7:$B$46,0)),"Alumno/a no está en la lista",IF(D78="","Falta título",IF(B78="","Falta fecha",IF(OR(B78&lt;Panel!$C$9,B78&gt;Panel!$C$10),"Fuera del curso",IF(G78="","Faltan páginas",IF(H78="","Sin valorar","OK"))))))))</f>
        <v/>
      </c>
    </row>
    <row r="79" ht="20" customHeight="1">
      <c r="B79" s="10" t="n"/>
      <c r="C79" s="12" t="n"/>
      <c r="D79" s="12" t="n"/>
      <c r="E79" s="12" t="n"/>
      <c r="F79" s="12" t="n"/>
      <c r="G79" s="31" t="n"/>
      <c r="H79" s="13" t="n"/>
      <c r="I79" s="12" t="n"/>
      <c r="J79" s="23">
        <f>IF(C79="","",IFERROR(VLOOKUP(C79,Alumnado!$B$7:$C$46,2,FALSE),"?"))</f>
        <v/>
      </c>
      <c r="K79" s="23">
        <f>IF(OR(C79="",H79=""),"",REPT("★",H79)&amp;REPT("☆",5-H79))</f>
        <v/>
      </c>
      <c r="L79" s="23">
        <f>IF(AND(B79="",C79="",D79=""),"",IF(C79="","Falta alumno/a",IF(ISNA(MATCH(C79,Alumnado!$B$7:$B$46,0)),"Alumno/a no está en la lista",IF(D79="","Falta título",IF(B79="","Falta fecha",IF(OR(B79&lt;Panel!$C$9,B79&gt;Panel!$C$10),"Fuera del curso",IF(G79="","Faltan páginas",IF(H79="","Sin valorar","OK"))))))))</f>
        <v/>
      </c>
    </row>
    <row r="80" ht="20" customHeight="1">
      <c r="B80" s="10" t="n"/>
      <c r="C80" s="12" t="n"/>
      <c r="D80" s="12" t="n"/>
      <c r="E80" s="12" t="n"/>
      <c r="F80" s="12" t="n"/>
      <c r="G80" s="31" t="n"/>
      <c r="H80" s="13" t="n"/>
      <c r="I80" s="12" t="n"/>
      <c r="J80" s="23">
        <f>IF(C80="","",IFERROR(VLOOKUP(C80,Alumnado!$B$7:$C$46,2,FALSE),"?"))</f>
        <v/>
      </c>
      <c r="K80" s="23">
        <f>IF(OR(C80="",H80=""),"",REPT("★",H80)&amp;REPT("☆",5-H80))</f>
        <v/>
      </c>
      <c r="L80" s="23">
        <f>IF(AND(B80="",C80="",D80=""),"",IF(C80="","Falta alumno/a",IF(ISNA(MATCH(C80,Alumnado!$B$7:$B$46,0)),"Alumno/a no está en la lista",IF(D80="","Falta título",IF(B80="","Falta fecha",IF(OR(B80&lt;Panel!$C$9,B80&gt;Panel!$C$10),"Fuera del curso",IF(G80="","Faltan páginas",IF(H80="","Sin valorar","OK"))))))))</f>
        <v/>
      </c>
    </row>
    <row r="81" ht="20" customHeight="1">
      <c r="B81" s="10" t="n"/>
      <c r="C81" s="12" t="n"/>
      <c r="D81" s="12" t="n"/>
      <c r="E81" s="12" t="n"/>
      <c r="F81" s="12" t="n"/>
      <c r="G81" s="31" t="n"/>
      <c r="H81" s="13" t="n"/>
      <c r="I81" s="12" t="n"/>
      <c r="J81" s="23">
        <f>IF(C81="","",IFERROR(VLOOKUP(C81,Alumnado!$B$7:$C$46,2,FALSE),"?"))</f>
        <v/>
      </c>
      <c r="K81" s="23">
        <f>IF(OR(C81="",H81=""),"",REPT("★",H81)&amp;REPT("☆",5-H81))</f>
        <v/>
      </c>
      <c r="L81" s="23">
        <f>IF(AND(B81="",C81="",D81=""),"",IF(C81="","Falta alumno/a",IF(ISNA(MATCH(C81,Alumnado!$B$7:$B$46,0)),"Alumno/a no está en la lista",IF(D81="","Falta título",IF(B81="","Falta fecha",IF(OR(B81&lt;Panel!$C$9,B81&gt;Panel!$C$10),"Fuera del curso",IF(G81="","Faltan páginas",IF(H81="","Sin valorar","OK"))))))))</f>
        <v/>
      </c>
    </row>
    <row r="82" ht="20" customHeight="1">
      <c r="B82" s="10" t="n"/>
      <c r="C82" s="12" t="n"/>
      <c r="D82" s="12" t="n"/>
      <c r="E82" s="12" t="n"/>
      <c r="F82" s="12" t="n"/>
      <c r="G82" s="31" t="n"/>
      <c r="H82" s="13" t="n"/>
      <c r="I82" s="12" t="n"/>
      <c r="J82" s="23">
        <f>IF(C82="","",IFERROR(VLOOKUP(C82,Alumnado!$B$7:$C$46,2,FALSE),"?"))</f>
        <v/>
      </c>
      <c r="K82" s="23">
        <f>IF(OR(C82="",H82=""),"",REPT("★",H82)&amp;REPT("☆",5-H82))</f>
        <v/>
      </c>
      <c r="L82" s="23">
        <f>IF(AND(B82="",C82="",D82=""),"",IF(C82="","Falta alumno/a",IF(ISNA(MATCH(C82,Alumnado!$B$7:$B$46,0)),"Alumno/a no está en la lista",IF(D82="","Falta título",IF(B82="","Falta fecha",IF(OR(B82&lt;Panel!$C$9,B82&gt;Panel!$C$10),"Fuera del curso",IF(G82="","Faltan páginas",IF(H82="","Sin valorar","OK"))))))))</f>
        <v/>
      </c>
    </row>
    <row r="83" ht="20" customHeight="1">
      <c r="B83" s="10" t="n"/>
      <c r="C83" s="12" t="n"/>
      <c r="D83" s="12" t="n"/>
      <c r="E83" s="12" t="n"/>
      <c r="F83" s="12" t="n"/>
      <c r="G83" s="31" t="n"/>
      <c r="H83" s="13" t="n"/>
      <c r="I83" s="12" t="n"/>
      <c r="J83" s="23">
        <f>IF(C83="","",IFERROR(VLOOKUP(C83,Alumnado!$B$7:$C$46,2,FALSE),"?"))</f>
        <v/>
      </c>
      <c r="K83" s="23">
        <f>IF(OR(C83="",H83=""),"",REPT("★",H83)&amp;REPT("☆",5-H83))</f>
        <v/>
      </c>
      <c r="L83" s="23">
        <f>IF(AND(B83="",C83="",D83=""),"",IF(C83="","Falta alumno/a",IF(ISNA(MATCH(C83,Alumnado!$B$7:$B$46,0)),"Alumno/a no está en la lista",IF(D83="","Falta título",IF(B83="","Falta fecha",IF(OR(B83&lt;Panel!$C$9,B83&gt;Panel!$C$10),"Fuera del curso",IF(G83="","Faltan páginas",IF(H83="","Sin valorar","OK"))))))))</f>
        <v/>
      </c>
    </row>
    <row r="84" ht="20" customHeight="1">
      <c r="B84" s="10" t="n"/>
      <c r="C84" s="12" t="n"/>
      <c r="D84" s="12" t="n"/>
      <c r="E84" s="12" t="n"/>
      <c r="F84" s="12" t="n"/>
      <c r="G84" s="31" t="n"/>
      <c r="H84" s="13" t="n"/>
      <c r="I84" s="12" t="n"/>
      <c r="J84" s="23">
        <f>IF(C84="","",IFERROR(VLOOKUP(C84,Alumnado!$B$7:$C$46,2,FALSE),"?"))</f>
        <v/>
      </c>
      <c r="K84" s="23">
        <f>IF(OR(C84="",H84=""),"",REPT("★",H84)&amp;REPT("☆",5-H84))</f>
        <v/>
      </c>
      <c r="L84" s="23">
        <f>IF(AND(B84="",C84="",D84=""),"",IF(C84="","Falta alumno/a",IF(ISNA(MATCH(C84,Alumnado!$B$7:$B$46,0)),"Alumno/a no está en la lista",IF(D84="","Falta título",IF(B84="","Falta fecha",IF(OR(B84&lt;Panel!$C$9,B84&gt;Panel!$C$10),"Fuera del curso",IF(G84="","Faltan páginas",IF(H84="","Sin valorar","OK"))))))))</f>
        <v/>
      </c>
    </row>
    <row r="85" ht="20" customHeight="1">
      <c r="B85" s="10" t="n"/>
      <c r="C85" s="12" t="n"/>
      <c r="D85" s="12" t="n"/>
      <c r="E85" s="12" t="n"/>
      <c r="F85" s="12" t="n"/>
      <c r="G85" s="31" t="n"/>
      <c r="H85" s="13" t="n"/>
      <c r="I85" s="12" t="n"/>
      <c r="J85" s="23">
        <f>IF(C85="","",IFERROR(VLOOKUP(C85,Alumnado!$B$7:$C$46,2,FALSE),"?"))</f>
        <v/>
      </c>
      <c r="K85" s="23">
        <f>IF(OR(C85="",H85=""),"",REPT("★",H85)&amp;REPT("☆",5-H85))</f>
        <v/>
      </c>
      <c r="L85" s="23">
        <f>IF(AND(B85="",C85="",D85=""),"",IF(C85="","Falta alumno/a",IF(ISNA(MATCH(C85,Alumnado!$B$7:$B$46,0)),"Alumno/a no está en la lista",IF(D85="","Falta título",IF(B85="","Falta fecha",IF(OR(B85&lt;Panel!$C$9,B85&gt;Panel!$C$10),"Fuera del curso",IF(G85="","Faltan páginas",IF(H85="","Sin valorar","OK"))))))))</f>
        <v/>
      </c>
    </row>
    <row r="86" ht="20" customHeight="1">
      <c r="B86" s="10" t="n"/>
      <c r="C86" s="12" t="n"/>
      <c r="D86" s="12" t="n"/>
      <c r="E86" s="12" t="n"/>
      <c r="F86" s="12" t="n"/>
      <c r="G86" s="31" t="n"/>
      <c r="H86" s="13" t="n"/>
      <c r="I86" s="12" t="n"/>
      <c r="J86" s="23">
        <f>IF(C86="","",IFERROR(VLOOKUP(C86,Alumnado!$B$7:$C$46,2,FALSE),"?"))</f>
        <v/>
      </c>
      <c r="K86" s="23">
        <f>IF(OR(C86="",H86=""),"",REPT("★",H86)&amp;REPT("☆",5-H86))</f>
        <v/>
      </c>
      <c r="L86" s="23">
        <f>IF(AND(B86="",C86="",D86=""),"",IF(C86="","Falta alumno/a",IF(ISNA(MATCH(C86,Alumnado!$B$7:$B$46,0)),"Alumno/a no está en la lista",IF(D86="","Falta título",IF(B86="","Falta fecha",IF(OR(B86&lt;Panel!$C$9,B86&gt;Panel!$C$10),"Fuera del curso",IF(G86="","Faltan páginas",IF(H86="","Sin valorar","OK"))))))))</f>
        <v/>
      </c>
    </row>
    <row r="87" ht="20" customHeight="1">
      <c r="B87" s="10" t="n"/>
      <c r="C87" s="12" t="n"/>
      <c r="D87" s="12" t="n"/>
      <c r="E87" s="12" t="n"/>
      <c r="F87" s="12" t="n"/>
      <c r="G87" s="31" t="n"/>
      <c r="H87" s="13" t="n"/>
      <c r="I87" s="12" t="n"/>
      <c r="J87" s="23">
        <f>IF(C87="","",IFERROR(VLOOKUP(C87,Alumnado!$B$7:$C$46,2,FALSE),"?"))</f>
        <v/>
      </c>
      <c r="K87" s="23">
        <f>IF(OR(C87="",H87=""),"",REPT("★",H87)&amp;REPT("☆",5-H87))</f>
        <v/>
      </c>
      <c r="L87" s="23">
        <f>IF(AND(B87="",C87="",D87=""),"",IF(C87="","Falta alumno/a",IF(ISNA(MATCH(C87,Alumnado!$B$7:$B$46,0)),"Alumno/a no está en la lista",IF(D87="","Falta título",IF(B87="","Falta fecha",IF(OR(B87&lt;Panel!$C$9,B87&gt;Panel!$C$10),"Fuera del curso",IF(G87="","Faltan páginas",IF(H87="","Sin valorar","OK"))))))))</f>
        <v/>
      </c>
    </row>
    <row r="88" ht="20" customHeight="1">
      <c r="B88" s="10" t="n"/>
      <c r="C88" s="12" t="n"/>
      <c r="D88" s="12" t="n"/>
      <c r="E88" s="12" t="n"/>
      <c r="F88" s="12" t="n"/>
      <c r="G88" s="31" t="n"/>
      <c r="H88" s="13" t="n"/>
      <c r="I88" s="12" t="n"/>
      <c r="J88" s="23">
        <f>IF(C88="","",IFERROR(VLOOKUP(C88,Alumnado!$B$7:$C$46,2,FALSE),"?"))</f>
        <v/>
      </c>
      <c r="K88" s="23">
        <f>IF(OR(C88="",H88=""),"",REPT("★",H88)&amp;REPT("☆",5-H88))</f>
        <v/>
      </c>
      <c r="L88" s="23">
        <f>IF(AND(B88="",C88="",D88=""),"",IF(C88="","Falta alumno/a",IF(ISNA(MATCH(C88,Alumnado!$B$7:$B$46,0)),"Alumno/a no está en la lista",IF(D88="","Falta título",IF(B88="","Falta fecha",IF(OR(B88&lt;Panel!$C$9,B88&gt;Panel!$C$10),"Fuera del curso",IF(G88="","Faltan páginas",IF(H88="","Sin valorar","OK"))))))))</f>
        <v/>
      </c>
    </row>
    <row r="89" ht="20" customHeight="1">
      <c r="B89" s="10" t="n"/>
      <c r="C89" s="12" t="n"/>
      <c r="D89" s="12" t="n"/>
      <c r="E89" s="12" t="n"/>
      <c r="F89" s="12" t="n"/>
      <c r="G89" s="31" t="n"/>
      <c r="H89" s="13" t="n"/>
      <c r="I89" s="12" t="n"/>
      <c r="J89" s="23">
        <f>IF(C89="","",IFERROR(VLOOKUP(C89,Alumnado!$B$7:$C$46,2,FALSE),"?"))</f>
        <v/>
      </c>
      <c r="K89" s="23">
        <f>IF(OR(C89="",H89=""),"",REPT("★",H89)&amp;REPT("☆",5-H89))</f>
        <v/>
      </c>
      <c r="L89" s="23">
        <f>IF(AND(B89="",C89="",D89=""),"",IF(C89="","Falta alumno/a",IF(ISNA(MATCH(C89,Alumnado!$B$7:$B$46,0)),"Alumno/a no está en la lista",IF(D89="","Falta título",IF(B89="","Falta fecha",IF(OR(B89&lt;Panel!$C$9,B89&gt;Panel!$C$10),"Fuera del curso",IF(G89="","Faltan páginas",IF(H89="","Sin valorar","OK"))))))))</f>
        <v/>
      </c>
    </row>
    <row r="90" ht="20" customHeight="1">
      <c r="B90" s="10" t="n"/>
      <c r="C90" s="12" t="n"/>
      <c r="D90" s="12" t="n"/>
      <c r="E90" s="12" t="n"/>
      <c r="F90" s="12" t="n"/>
      <c r="G90" s="31" t="n"/>
      <c r="H90" s="13" t="n"/>
      <c r="I90" s="12" t="n"/>
      <c r="J90" s="23">
        <f>IF(C90="","",IFERROR(VLOOKUP(C90,Alumnado!$B$7:$C$46,2,FALSE),"?"))</f>
        <v/>
      </c>
      <c r="K90" s="23">
        <f>IF(OR(C90="",H90=""),"",REPT("★",H90)&amp;REPT("☆",5-H90))</f>
        <v/>
      </c>
      <c r="L90" s="23">
        <f>IF(AND(B90="",C90="",D90=""),"",IF(C90="","Falta alumno/a",IF(ISNA(MATCH(C90,Alumnado!$B$7:$B$46,0)),"Alumno/a no está en la lista",IF(D90="","Falta título",IF(B90="","Falta fecha",IF(OR(B90&lt;Panel!$C$9,B90&gt;Panel!$C$10),"Fuera del curso",IF(G90="","Faltan páginas",IF(H90="","Sin valorar","OK"))))))))</f>
        <v/>
      </c>
    </row>
    <row r="91" ht="20" customHeight="1">
      <c r="B91" s="10" t="n"/>
      <c r="C91" s="12" t="n"/>
      <c r="D91" s="12" t="n"/>
      <c r="E91" s="12" t="n"/>
      <c r="F91" s="12" t="n"/>
      <c r="G91" s="31" t="n"/>
      <c r="H91" s="13" t="n"/>
      <c r="I91" s="12" t="n"/>
      <c r="J91" s="23">
        <f>IF(C91="","",IFERROR(VLOOKUP(C91,Alumnado!$B$7:$C$46,2,FALSE),"?"))</f>
        <v/>
      </c>
      <c r="K91" s="23">
        <f>IF(OR(C91="",H91=""),"",REPT("★",H91)&amp;REPT("☆",5-H91))</f>
        <v/>
      </c>
      <c r="L91" s="23">
        <f>IF(AND(B91="",C91="",D91=""),"",IF(C91="","Falta alumno/a",IF(ISNA(MATCH(C91,Alumnado!$B$7:$B$46,0)),"Alumno/a no está en la lista",IF(D91="","Falta título",IF(B91="","Falta fecha",IF(OR(B91&lt;Panel!$C$9,B91&gt;Panel!$C$10),"Fuera del curso",IF(G91="","Faltan páginas",IF(H91="","Sin valorar","OK"))))))))</f>
        <v/>
      </c>
    </row>
    <row r="92" ht="20" customHeight="1">
      <c r="B92" s="10" t="n"/>
      <c r="C92" s="12" t="n"/>
      <c r="D92" s="12" t="n"/>
      <c r="E92" s="12" t="n"/>
      <c r="F92" s="12" t="n"/>
      <c r="G92" s="31" t="n"/>
      <c r="H92" s="13" t="n"/>
      <c r="I92" s="12" t="n"/>
      <c r="J92" s="23">
        <f>IF(C92="","",IFERROR(VLOOKUP(C92,Alumnado!$B$7:$C$46,2,FALSE),"?"))</f>
        <v/>
      </c>
      <c r="K92" s="23">
        <f>IF(OR(C92="",H92=""),"",REPT("★",H92)&amp;REPT("☆",5-H92))</f>
        <v/>
      </c>
      <c r="L92" s="23">
        <f>IF(AND(B92="",C92="",D92=""),"",IF(C92="","Falta alumno/a",IF(ISNA(MATCH(C92,Alumnado!$B$7:$B$46,0)),"Alumno/a no está en la lista",IF(D92="","Falta título",IF(B92="","Falta fecha",IF(OR(B92&lt;Panel!$C$9,B92&gt;Panel!$C$10),"Fuera del curso",IF(G92="","Faltan páginas",IF(H92="","Sin valorar","OK"))))))))</f>
        <v/>
      </c>
    </row>
    <row r="93" ht="20" customHeight="1">
      <c r="B93" s="10" t="n"/>
      <c r="C93" s="12" t="n"/>
      <c r="D93" s="12" t="n"/>
      <c r="E93" s="12" t="n"/>
      <c r="F93" s="12" t="n"/>
      <c r="G93" s="31" t="n"/>
      <c r="H93" s="13" t="n"/>
      <c r="I93" s="12" t="n"/>
      <c r="J93" s="23">
        <f>IF(C93="","",IFERROR(VLOOKUP(C93,Alumnado!$B$7:$C$46,2,FALSE),"?"))</f>
        <v/>
      </c>
      <c r="K93" s="23">
        <f>IF(OR(C93="",H93=""),"",REPT("★",H93)&amp;REPT("☆",5-H93))</f>
        <v/>
      </c>
      <c r="L93" s="23">
        <f>IF(AND(B93="",C93="",D93=""),"",IF(C93="","Falta alumno/a",IF(ISNA(MATCH(C93,Alumnado!$B$7:$B$46,0)),"Alumno/a no está en la lista",IF(D93="","Falta título",IF(B93="","Falta fecha",IF(OR(B93&lt;Panel!$C$9,B93&gt;Panel!$C$10),"Fuera del curso",IF(G93="","Faltan páginas",IF(H93="","Sin valorar","OK"))))))))</f>
        <v/>
      </c>
    </row>
    <row r="94" ht="20" customHeight="1">
      <c r="B94" s="10" t="n"/>
      <c r="C94" s="12" t="n"/>
      <c r="D94" s="12" t="n"/>
      <c r="E94" s="12" t="n"/>
      <c r="F94" s="12" t="n"/>
      <c r="G94" s="31" t="n"/>
      <c r="H94" s="13" t="n"/>
      <c r="I94" s="12" t="n"/>
      <c r="J94" s="23">
        <f>IF(C94="","",IFERROR(VLOOKUP(C94,Alumnado!$B$7:$C$46,2,FALSE),"?"))</f>
        <v/>
      </c>
      <c r="K94" s="23">
        <f>IF(OR(C94="",H94=""),"",REPT("★",H94)&amp;REPT("☆",5-H94))</f>
        <v/>
      </c>
      <c r="L94" s="23">
        <f>IF(AND(B94="",C94="",D94=""),"",IF(C94="","Falta alumno/a",IF(ISNA(MATCH(C94,Alumnado!$B$7:$B$46,0)),"Alumno/a no está en la lista",IF(D94="","Falta título",IF(B94="","Falta fecha",IF(OR(B94&lt;Panel!$C$9,B94&gt;Panel!$C$10),"Fuera del curso",IF(G94="","Faltan páginas",IF(H94="","Sin valorar","OK"))))))))</f>
        <v/>
      </c>
    </row>
    <row r="95" ht="20" customHeight="1">
      <c r="B95" s="10" t="n"/>
      <c r="C95" s="12" t="n"/>
      <c r="D95" s="12" t="n"/>
      <c r="E95" s="12" t="n"/>
      <c r="F95" s="12" t="n"/>
      <c r="G95" s="31" t="n"/>
      <c r="H95" s="13" t="n"/>
      <c r="I95" s="12" t="n"/>
      <c r="J95" s="23">
        <f>IF(C95="","",IFERROR(VLOOKUP(C95,Alumnado!$B$7:$C$46,2,FALSE),"?"))</f>
        <v/>
      </c>
      <c r="K95" s="23">
        <f>IF(OR(C95="",H95=""),"",REPT("★",H95)&amp;REPT("☆",5-H95))</f>
        <v/>
      </c>
      <c r="L95" s="23">
        <f>IF(AND(B95="",C95="",D95=""),"",IF(C95="","Falta alumno/a",IF(ISNA(MATCH(C95,Alumnado!$B$7:$B$46,0)),"Alumno/a no está en la lista",IF(D95="","Falta título",IF(B95="","Falta fecha",IF(OR(B95&lt;Panel!$C$9,B95&gt;Panel!$C$10),"Fuera del curso",IF(G95="","Faltan páginas",IF(H95="","Sin valorar","OK"))))))))</f>
        <v/>
      </c>
    </row>
    <row r="96" ht="20" customHeight="1">
      <c r="B96" s="10" t="n"/>
      <c r="C96" s="12" t="n"/>
      <c r="D96" s="12" t="n"/>
      <c r="E96" s="12" t="n"/>
      <c r="F96" s="12" t="n"/>
      <c r="G96" s="31" t="n"/>
      <c r="H96" s="13" t="n"/>
      <c r="I96" s="12" t="n"/>
      <c r="J96" s="23">
        <f>IF(C96="","",IFERROR(VLOOKUP(C96,Alumnado!$B$7:$C$46,2,FALSE),"?"))</f>
        <v/>
      </c>
      <c r="K96" s="23">
        <f>IF(OR(C96="",H96=""),"",REPT("★",H96)&amp;REPT("☆",5-H96))</f>
        <v/>
      </c>
      <c r="L96" s="23">
        <f>IF(AND(B96="",C96="",D96=""),"",IF(C96="","Falta alumno/a",IF(ISNA(MATCH(C96,Alumnado!$B$7:$B$46,0)),"Alumno/a no está en la lista",IF(D96="","Falta título",IF(B96="","Falta fecha",IF(OR(B96&lt;Panel!$C$9,B96&gt;Panel!$C$10),"Fuera del curso",IF(G96="","Faltan páginas",IF(H96="","Sin valorar","OK"))))))))</f>
        <v/>
      </c>
    </row>
    <row r="97" ht="20" customHeight="1">
      <c r="B97" s="10" t="n"/>
      <c r="C97" s="12" t="n"/>
      <c r="D97" s="12" t="n"/>
      <c r="E97" s="12" t="n"/>
      <c r="F97" s="12" t="n"/>
      <c r="G97" s="31" t="n"/>
      <c r="H97" s="13" t="n"/>
      <c r="I97" s="12" t="n"/>
      <c r="J97" s="23">
        <f>IF(C97="","",IFERROR(VLOOKUP(C97,Alumnado!$B$7:$C$46,2,FALSE),"?"))</f>
        <v/>
      </c>
      <c r="K97" s="23">
        <f>IF(OR(C97="",H97=""),"",REPT("★",H97)&amp;REPT("☆",5-H97))</f>
        <v/>
      </c>
      <c r="L97" s="23">
        <f>IF(AND(B97="",C97="",D97=""),"",IF(C97="","Falta alumno/a",IF(ISNA(MATCH(C97,Alumnado!$B$7:$B$46,0)),"Alumno/a no está en la lista",IF(D97="","Falta título",IF(B97="","Falta fecha",IF(OR(B97&lt;Panel!$C$9,B97&gt;Panel!$C$10),"Fuera del curso",IF(G97="","Faltan páginas",IF(H97="","Sin valorar","OK"))))))))</f>
        <v/>
      </c>
    </row>
    <row r="98" ht="20" customHeight="1">
      <c r="B98" s="10" t="n"/>
      <c r="C98" s="12" t="n"/>
      <c r="D98" s="12" t="n"/>
      <c r="E98" s="12" t="n"/>
      <c r="F98" s="12" t="n"/>
      <c r="G98" s="31" t="n"/>
      <c r="H98" s="13" t="n"/>
      <c r="I98" s="12" t="n"/>
      <c r="J98" s="23">
        <f>IF(C98="","",IFERROR(VLOOKUP(C98,Alumnado!$B$7:$C$46,2,FALSE),"?"))</f>
        <v/>
      </c>
      <c r="K98" s="23">
        <f>IF(OR(C98="",H98=""),"",REPT("★",H98)&amp;REPT("☆",5-H98))</f>
        <v/>
      </c>
      <c r="L98" s="23">
        <f>IF(AND(B98="",C98="",D98=""),"",IF(C98="","Falta alumno/a",IF(ISNA(MATCH(C98,Alumnado!$B$7:$B$46,0)),"Alumno/a no está en la lista",IF(D98="","Falta título",IF(B98="","Falta fecha",IF(OR(B98&lt;Panel!$C$9,B98&gt;Panel!$C$10),"Fuera del curso",IF(G98="","Faltan páginas",IF(H98="","Sin valorar","OK"))))))))</f>
        <v/>
      </c>
    </row>
    <row r="99" ht="20" customHeight="1">
      <c r="B99" s="10" t="n"/>
      <c r="C99" s="12" t="n"/>
      <c r="D99" s="12" t="n"/>
      <c r="E99" s="12" t="n"/>
      <c r="F99" s="12" t="n"/>
      <c r="G99" s="31" t="n"/>
      <c r="H99" s="13" t="n"/>
      <c r="I99" s="12" t="n"/>
      <c r="J99" s="23">
        <f>IF(C99="","",IFERROR(VLOOKUP(C99,Alumnado!$B$7:$C$46,2,FALSE),"?"))</f>
        <v/>
      </c>
      <c r="K99" s="23">
        <f>IF(OR(C99="",H99=""),"",REPT("★",H99)&amp;REPT("☆",5-H99))</f>
        <v/>
      </c>
      <c r="L99" s="23">
        <f>IF(AND(B99="",C99="",D99=""),"",IF(C99="","Falta alumno/a",IF(ISNA(MATCH(C99,Alumnado!$B$7:$B$46,0)),"Alumno/a no está en la lista",IF(D99="","Falta título",IF(B99="","Falta fecha",IF(OR(B99&lt;Panel!$C$9,B99&gt;Panel!$C$10),"Fuera del curso",IF(G99="","Faltan páginas",IF(H99="","Sin valorar","OK"))))))))</f>
        <v/>
      </c>
    </row>
    <row r="100" ht="20" customHeight="1">
      <c r="B100" s="10" t="n"/>
      <c r="C100" s="12" t="n"/>
      <c r="D100" s="12" t="n"/>
      <c r="E100" s="12" t="n"/>
      <c r="F100" s="12" t="n"/>
      <c r="G100" s="31" t="n"/>
      <c r="H100" s="13" t="n"/>
      <c r="I100" s="12" t="n"/>
      <c r="J100" s="23">
        <f>IF(C100="","",IFERROR(VLOOKUP(C100,Alumnado!$B$7:$C$46,2,FALSE),"?"))</f>
        <v/>
      </c>
      <c r="K100" s="23">
        <f>IF(OR(C100="",H100=""),"",REPT("★",H100)&amp;REPT("☆",5-H100))</f>
        <v/>
      </c>
      <c r="L100" s="23">
        <f>IF(AND(B100="",C100="",D100=""),"",IF(C100="","Falta alumno/a",IF(ISNA(MATCH(C100,Alumnado!$B$7:$B$46,0)),"Alumno/a no está en la lista",IF(D100="","Falta título",IF(B100="","Falta fecha",IF(OR(B100&lt;Panel!$C$9,B100&gt;Panel!$C$10),"Fuera del curso",IF(G100="","Faltan páginas",IF(H100="","Sin valorar","OK"))))))))</f>
        <v/>
      </c>
    </row>
    <row r="101" ht="20" customHeight="1">
      <c r="B101" s="10" t="n"/>
      <c r="C101" s="12" t="n"/>
      <c r="D101" s="12" t="n"/>
      <c r="E101" s="12" t="n"/>
      <c r="F101" s="12" t="n"/>
      <c r="G101" s="31" t="n"/>
      <c r="H101" s="13" t="n"/>
      <c r="I101" s="12" t="n"/>
      <c r="J101" s="23">
        <f>IF(C101="","",IFERROR(VLOOKUP(C101,Alumnado!$B$7:$C$46,2,FALSE),"?"))</f>
        <v/>
      </c>
      <c r="K101" s="23">
        <f>IF(OR(C101="",H101=""),"",REPT("★",H101)&amp;REPT("☆",5-H101))</f>
        <v/>
      </c>
      <c r="L101" s="23">
        <f>IF(AND(B101="",C101="",D101=""),"",IF(C101="","Falta alumno/a",IF(ISNA(MATCH(C101,Alumnado!$B$7:$B$46,0)),"Alumno/a no está en la lista",IF(D101="","Falta título",IF(B101="","Falta fecha",IF(OR(B101&lt;Panel!$C$9,B101&gt;Panel!$C$10),"Fuera del curso",IF(G101="","Faltan páginas",IF(H101="","Sin valorar","OK"))))))))</f>
        <v/>
      </c>
    </row>
    <row r="102" ht="20" customHeight="1">
      <c r="B102" s="10" t="n"/>
      <c r="C102" s="12" t="n"/>
      <c r="D102" s="12" t="n"/>
      <c r="E102" s="12" t="n"/>
      <c r="F102" s="12" t="n"/>
      <c r="G102" s="31" t="n"/>
      <c r="H102" s="13" t="n"/>
      <c r="I102" s="12" t="n"/>
      <c r="J102" s="23">
        <f>IF(C102="","",IFERROR(VLOOKUP(C102,Alumnado!$B$7:$C$46,2,FALSE),"?"))</f>
        <v/>
      </c>
      <c r="K102" s="23">
        <f>IF(OR(C102="",H102=""),"",REPT("★",H102)&amp;REPT("☆",5-H102))</f>
        <v/>
      </c>
      <c r="L102" s="23">
        <f>IF(AND(B102="",C102="",D102=""),"",IF(C102="","Falta alumno/a",IF(ISNA(MATCH(C102,Alumnado!$B$7:$B$46,0)),"Alumno/a no está en la lista",IF(D102="","Falta título",IF(B102="","Falta fecha",IF(OR(B102&lt;Panel!$C$9,B102&gt;Panel!$C$10),"Fuera del curso",IF(G102="","Faltan páginas",IF(H102="","Sin valorar","OK"))))))))</f>
        <v/>
      </c>
    </row>
    <row r="103" ht="20" customHeight="1">
      <c r="B103" s="10" t="n"/>
      <c r="C103" s="12" t="n"/>
      <c r="D103" s="12" t="n"/>
      <c r="E103" s="12" t="n"/>
      <c r="F103" s="12" t="n"/>
      <c r="G103" s="31" t="n"/>
      <c r="H103" s="13" t="n"/>
      <c r="I103" s="12" t="n"/>
      <c r="J103" s="23">
        <f>IF(C103="","",IFERROR(VLOOKUP(C103,Alumnado!$B$7:$C$46,2,FALSE),"?"))</f>
        <v/>
      </c>
      <c r="K103" s="23">
        <f>IF(OR(C103="",H103=""),"",REPT("★",H103)&amp;REPT("☆",5-H103))</f>
        <v/>
      </c>
      <c r="L103" s="23">
        <f>IF(AND(B103="",C103="",D103=""),"",IF(C103="","Falta alumno/a",IF(ISNA(MATCH(C103,Alumnado!$B$7:$B$46,0)),"Alumno/a no está en la lista",IF(D103="","Falta título",IF(B103="","Falta fecha",IF(OR(B103&lt;Panel!$C$9,B103&gt;Panel!$C$10),"Fuera del curso",IF(G103="","Faltan páginas",IF(H103="","Sin valorar","OK"))))))))</f>
        <v/>
      </c>
    </row>
    <row r="104" ht="20" customHeight="1">
      <c r="B104" s="10" t="n"/>
      <c r="C104" s="12" t="n"/>
      <c r="D104" s="12" t="n"/>
      <c r="E104" s="12" t="n"/>
      <c r="F104" s="12" t="n"/>
      <c r="G104" s="31" t="n"/>
      <c r="H104" s="13" t="n"/>
      <c r="I104" s="12" t="n"/>
      <c r="J104" s="23">
        <f>IF(C104="","",IFERROR(VLOOKUP(C104,Alumnado!$B$7:$C$46,2,FALSE),"?"))</f>
        <v/>
      </c>
      <c r="K104" s="23">
        <f>IF(OR(C104="",H104=""),"",REPT("★",H104)&amp;REPT("☆",5-H104))</f>
        <v/>
      </c>
      <c r="L104" s="23">
        <f>IF(AND(B104="",C104="",D104=""),"",IF(C104="","Falta alumno/a",IF(ISNA(MATCH(C104,Alumnado!$B$7:$B$46,0)),"Alumno/a no está en la lista",IF(D104="","Falta título",IF(B104="","Falta fecha",IF(OR(B104&lt;Panel!$C$9,B104&gt;Panel!$C$10),"Fuera del curso",IF(G104="","Faltan páginas",IF(H104="","Sin valorar","OK"))))))))</f>
        <v/>
      </c>
    </row>
    <row r="105" ht="20" customHeight="1">
      <c r="B105" s="10" t="n"/>
      <c r="C105" s="12" t="n"/>
      <c r="D105" s="12" t="n"/>
      <c r="E105" s="12" t="n"/>
      <c r="F105" s="12" t="n"/>
      <c r="G105" s="31" t="n"/>
      <c r="H105" s="13" t="n"/>
      <c r="I105" s="12" t="n"/>
      <c r="J105" s="23">
        <f>IF(C105="","",IFERROR(VLOOKUP(C105,Alumnado!$B$7:$C$46,2,FALSE),"?"))</f>
        <v/>
      </c>
      <c r="K105" s="23">
        <f>IF(OR(C105="",H105=""),"",REPT("★",H105)&amp;REPT("☆",5-H105))</f>
        <v/>
      </c>
      <c r="L105" s="23">
        <f>IF(AND(B105="",C105="",D105=""),"",IF(C105="","Falta alumno/a",IF(ISNA(MATCH(C105,Alumnado!$B$7:$B$46,0)),"Alumno/a no está en la lista",IF(D105="","Falta título",IF(B105="","Falta fecha",IF(OR(B105&lt;Panel!$C$9,B105&gt;Panel!$C$10),"Fuera del curso",IF(G105="","Faltan páginas",IF(H105="","Sin valorar","OK"))))))))</f>
        <v/>
      </c>
    </row>
    <row r="106" ht="20" customHeight="1">
      <c r="B106" s="10" t="n"/>
      <c r="C106" s="12" t="n"/>
      <c r="D106" s="12" t="n"/>
      <c r="E106" s="12" t="n"/>
      <c r="F106" s="12" t="n"/>
      <c r="G106" s="31" t="n"/>
      <c r="H106" s="13" t="n"/>
      <c r="I106" s="12" t="n"/>
      <c r="J106" s="23">
        <f>IF(C106="","",IFERROR(VLOOKUP(C106,Alumnado!$B$7:$C$46,2,FALSE),"?"))</f>
        <v/>
      </c>
      <c r="K106" s="23">
        <f>IF(OR(C106="",H106=""),"",REPT("★",H106)&amp;REPT("☆",5-H106))</f>
        <v/>
      </c>
      <c r="L106" s="23">
        <f>IF(AND(B106="",C106="",D106=""),"",IF(C106="","Falta alumno/a",IF(ISNA(MATCH(C106,Alumnado!$B$7:$B$46,0)),"Alumno/a no está en la lista",IF(D106="","Falta título",IF(B106="","Falta fecha",IF(OR(B106&lt;Panel!$C$9,B106&gt;Panel!$C$10),"Fuera del curso",IF(G106="","Faltan páginas",IF(H106="","Sin valorar","OK"))))))))</f>
        <v/>
      </c>
    </row>
    <row r="107" ht="20" customHeight="1">
      <c r="B107" s="10" t="n"/>
      <c r="C107" s="12" t="n"/>
      <c r="D107" s="12" t="n"/>
      <c r="E107" s="12" t="n"/>
      <c r="F107" s="12" t="n"/>
      <c r="G107" s="31" t="n"/>
      <c r="H107" s="13" t="n"/>
      <c r="I107" s="12" t="n"/>
      <c r="J107" s="23">
        <f>IF(C107="","",IFERROR(VLOOKUP(C107,Alumnado!$B$7:$C$46,2,FALSE),"?"))</f>
        <v/>
      </c>
      <c r="K107" s="23">
        <f>IF(OR(C107="",H107=""),"",REPT("★",H107)&amp;REPT("☆",5-H107))</f>
        <v/>
      </c>
      <c r="L107" s="23">
        <f>IF(AND(B107="",C107="",D107=""),"",IF(C107="","Falta alumno/a",IF(ISNA(MATCH(C107,Alumnado!$B$7:$B$46,0)),"Alumno/a no está en la lista",IF(D107="","Falta título",IF(B107="","Falta fecha",IF(OR(B107&lt;Panel!$C$9,B107&gt;Panel!$C$10),"Fuera del curso",IF(G107="","Faltan páginas",IF(H107="","Sin valorar","OK"))))))))</f>
        <v/>
      </c>
    </row>
    <row r="108" ht="20" customHeight="1">
      <c r="B108" s="10" t="n"/>
      <c r="C108" s="12" t="n"/>
      <c r="D108" s="12" t="n"/>
      <c r="E108" s="12" t="n"/>
      <c r="F108" s="12" t="n"/>
      <c r="G108" s="31" t="n"/>
      <c r="H108" s="13" t="n"/>
      <c r="I108" s="12" t="n"/>
      <c r="J108" s="23">
        <f>IF(C108="","",IFERROR(VLOOKUP(C108,Alumnado!$B$7:$C$46,2,FALSE),"?"))</f>
        <v/>
      </c>
      <c r="K108" s="23">
        <f>IF(OR(C108="",H108=""),"",REPT("★",H108)&amp;REPT("☆",5-H108))</f>
        <v/>
      </c>
      <c r="L108" s="23">
        <f>IF(AND(B108="",C108="",D108=""),"",IF(C108="","Falta alumno/a",IF(ISNA(MATCH(C108,Alumnado!$B$7:$B$46,0)),"Alumno/a no está en la lista",IF(D108="","Falta título",IF(B108="","Falta fecha",IF(OR(B108&lt;Panel!$C$9,B108&gt;Panel!$C$10),"Fuera del curso",IF(G108="","Faltan páginas",IF(H108="","Sin valorar","OK"))))))))</f>
        <v/>
      </c>
    </row>
    <row r="109" ht="20" customHeight="1">
      <c r="B109" s="10" t="n"/>
      <c r="C109" s="12" t="n"/>
      <c r="D109" s="12" t="n"/>
      <c r="E109" s="12" t="n"/>
      <c r="F109" s="12" t="n"/>
      <c r="G109" s="31" t="n"/>
      <c r="H109" s="13" t="n"/>
      <c r="I109" s="12" t="n"/>
      <c r="J109" s="23">
        <f>IF(C109="","",IFERROR(VLOOKUP(C109,Alumnado!$B$7:$C$46,2,FALSE),"?"))</f>
        <v/>
      </c>
      <c r="K109" s="23">
        <f>IF(OR(C109="",H109=""),"",REPT("★",H109)&amp;REPT("☆",5-H109))</f>
        <v/>
      </c>
      <c r="L109" s="23">
        <f>IF(AND(B109="",C109="",D109=""),"",IF(C109="","Falta alumno/a",IF(ISNA(MATCH(C109,Alumnado!$B$7:$B$46,0)),"Alumno/a no está en la lista",IF(D109="","Falta título",IF(B109="","Falta fecha",IF(OR(B109&lt;Panel!$C$9,B109&gt;Panel!$C$10),"Fuera del curso",IF(G109="","Faltan páginas",IF(H109="","Sin valorar","OK"))))))))</f>
        <v/>
      </c>
    </row>
    <row r="110" ht="20" customHeight="1">
      <c r="B110" s="10" t="n"/>
      <c r="C110" s="12" t="n"/>
      <c r="D110" s="12" t="n"/>
      <c r="E110" s="12" t="n"/>
      <c r="F110" s="12" t="n"/>
      <c r="G110" s="31" t="n"/>
      <c r="H110" s="13" t="n"/>
      <c r="I110" s="12" t="n"/>
      <c r="J110" s="23">
        <f>IF(C110="","",IFERROR(VLOOKUP(C110,Alumnado!$B$7:$C$46,2,FALSE),"?"))</f>
        <v/>
      </c>
      <c r="K110" s="23">
        <f>IF(OR(C110="",H110=""),"",REPT("★",H110)&amp;REPT("☆",5-H110))</f>
        <v/>
      </c>
      <c r="L110" s="23">
        <f>IF(AND(B110="",C110="",D110=""),"",IF(C110="","Falta alumno/a",IF(ISNA(MATCH(C110,Alumnado!$B$7:$B$46,0)),"Alumno/a no está en la lista",IF(D110="","Falta título",IF(B110="","Falta fecha",IF(OR(B110&lt;Panel!$C$9,B110&gt;Panel!$C$10),"Fuera del curso",IF(G110="","Faltan páginas",IF(H110="","Sin valorar","OK"))))))))</f>
        <v/>
      </c>
    </row>
    <row r="111" ht="20" customHeight="1">
      <c r="B111" s="10" t="n"/>
      <c r="C111" s="12" t="n"/>
      <c r="D111" s="12" t="n"/>
      <c r="E111" s="12" t="n"/>
      <c r="F111" s="12" t="n"/>
      <c r="G111" s="31" t="n"/>
      <c r="H111" s="13" t="n"/>
      <c r="I111" s="12" t="n"/>
      <c r="J111" s="23">
        <f>IF(C111="","",IFERROR(VLOOKUP(C111,Alumnado!$B$7:$C$46,2,FALSE),"?"))</f>
        <v/>
      </c>
      <c r="K111" s="23">
        <f>IF(OR(C111="",H111=""),"",REPT("★",H111)&amp;REPT("☆",5-H111))</f>
        <v/>
      </c>
      <c r="L111" s="23">
        <f>IF(AND(B111="",C111="",D111=""),"",IF(C111="","Falta alumno/a",IF(ISNA(MATCH(C111,Alumnado!$B$7:$B$46,0)),"Alumno/a no está en la lista",IF(D111="","Falta título",IF(B111="","Falta fecha",IF(OR(B111&lt;Panel!$C$9,B111&gt;Panel!$C$10),"Fuera del curso",IF(G111="","Faltan páginas",IF(H111="","Sin valorar","OK"))))))))</f>
        <v/>
      </c>
    </row>
    <row r="112" ht="20" customHeight="1">
      <c r="B112" s="10" t="n"/>
      <c r="C112" s="12" t="n"/>
      <c r="D112" s="12" t="n"/>
      <c r="E112" s="12" t="n"/>
      <c r="F112" s="12" t="n"/>
      <c r="G112" s="31" t="n"/>
      <c r="H112" s="13" t="n"/>
      <c r="I112" s="12" t="n"/>
      <c r="J112" s="23">
        <f>IF(C112="","",IFERROR(VLOOKUP(C112,Alumnado!$B$7:$C$46,2,FALSE),"?"))</f>
        <v/>
      </c>
      <c r="K112" s="23">
        <f>IF(OR(C112="",H112=""),"",REPT("★",H112)&amp;REPT("☆",5-H112))</f>
        <v/>
      </c>
      <c r="L112" s="23">
        <f>IF(AND(B112="",C112="",D112=""),"",IF(C112="","Falta alumno/a",IF(ISNA(MATCH(C112,Alumnado!$B$7:$B$46,0)),"Alumno/a no está en la lista",IF(D112="","Falta título",IF(B112="","Falta fecha",IF(OR(B112&lt;Panel!$C$9,B112&gt;Panel!$C$10),"Fuera del curso",IF(G112="","Faltan páginas",IF(H112="","Sin valorar","OK"))))))))</f>
        <v/>
      </c>
    </row>
    <row r="113" ht="20" customHeight="1">
      <c r="B113" s="10" t="n"/>
      <c r="C113" s="12" t="n"/>
      <c r="D113" s="12" t="n"/>
      <c r="E113" s="12" t="n"/>
      <c r="F113" s="12" t="n"/>
      <c r="G113" s="31" t="n"/>
      <c r="H113" s="13" t="n"/>
      <c r="I113" s="12" t="n"/>
      <c r="J113" s="23">
        <f>IF(C113="","",IFERROR(VLOOKUP(C113,Alumnado!$B$7:$C$46,2,FALSE),"?"))</f>
        <v/>
      </c>
      <c r="K113" s="23">
        <f>IF(OR(C113="",H113=""),"",REPT("★",H113)&amp;REPT("☆",5-H113))</f>
        <v/>
      </c>
      <c r="L113" s="23">
        <f>IF(AND(B113="",C113="",D113=""),"",IF(C113="","Falta alumno/a",IF(ISNA(MATCH(C113,Alumnado!$B$7:$B$46,0)),"Alumno/a no está en la lista",IF(D113="","Falta título",IF(B113="","Falta fecha",IF(OR(B113&lt;Panel!$C$9,B113&gt;Panel!$C$10),"Fuera del curso",IF(G113="","Faltan páginas",IF(H113="","Sin valorar","OK"))))))))</f>
        <v/>
      </c>
    </row>
    <row r="114" ht="20" customHeight="1">
      <c r="B114" s="10" t="n"/>
      <c r="C114" s="12" t="n"/>
      <c r="D114" s="12" t="n"/>
      <c r="E114" s="12" t="n"/>
      <c r="F114" s="12" t="n"/>
      <c r="G114" s="31" t="n"/>
      <c r="H114" s="13" t="n"/>
      <c r="I114" s="12" t="n"/>
      <c r="J114" s="23">
        <f>IF(C114="","",IFERROR(VLOOKUP(C114,Alumnado!$B$7:$C$46,2,FALSE),"?"))</f>
        <v/>
      </c>
      <c r="K114" s="23">
        <f>IF(OR(C114="",H114=""),"",REPT("★",H114)&amp;REPT("☆",5-H114))</f>
        <v/>
      </c>
      <c r="L114" s="23">
        <f>IF(AND(B114="",C114="",D114=""),"",IF(C114="","Falta alumno/a",IF(ISNA(MATCH(C114,Alumnado!$B$7:$B$46,0)),"Alumno/a no está en la lista",IF(D114="","Falta título",IF(B114="","Falta fecha",IF(OR(B114&lt;Panel!$C$9,B114&gt;Panel!$C$10),"Fuera del curso",IF(G114="","Faltan páginas",IF(H114="","Sin valorar","OK"))))))))</f>
        <v/>
      </c>
    </row>
    <row r="115" ht="20" customHeight="1">
      <c r="B115" s="10" t="n"/>
      <c r="C115" s="12" t="n"/>
      <c r="D115" s="12" t="n"/>
      <c r="E115" s="12" t="n"/>
      <c r="F115" s="12" t="n"/>
      <c r="G115" s="31" t="n"/>
      <c r="H115" s="13" t="n"/>
      <c r="I115" s="12" t="n"/>
      <c r="J115" s="23">
        <f>IF(C115="","",IFERROR(VLOOKUP(C115,Alumnado!$B$7:$C$46,2,FALSE),"?"))</f>
        <v/>
      </c>
      <c r="K115" s="23">
        <f>IF(OR(C115="",H115=""),"",REPT("★",H115)&amp;REPT("☆",5-H115))</f>
        <v/>
      </c>
      <c r="L115" s="23">
        <f>IF(AND(B115="",C115="",D115=""),"",IF(C115="","Falta alumno/a",IF(ISNA(MATCH(C115,Alumnado!$B$7:$B$46,0)),"Alumno/a no está en la lista",IF(D115="","Falta título",IF(B115="","Falta fecha",IF(OR(B115&lt;Panel!$C$9,B115&gt;Panel!$C$10),"Fuera del curso",IF(G115="","Faltan páginas",IF(H115="","Sin valorar","OK"))))))))</f>
        <v/>
      </c>
    </row>
    <row r="116" ht="20" customHeight="1">
      <c r="B116" s="10" t="n"/>
      <c r="C116" s="12" t="n"/>
      <c r="D116" s="12" t="n"/>
      <c r="E116" s="12" t="n"/>
      <c r="F116" s="12" t="n"/>
      <c r="G116" s="31" t="n"/>
      <c r="H116" s="13" t="n"/>
      <c r="I116" s="12" t="n"/>
      <c r="J116" s="23">
        <f>IF(C116="","",IFERROR(VLOOKUP(C116,Alumnado!$B$7:$C$46,2,FALSE),"?"))</f>
        <v/>
      </c>
      <c r="K116" s="23">
        <f>IF(OR(C116="",H116=""),"",REPT("★",H116)&amp;REPT("☆",5-H116))</f>
        <v/>
      </c>
      <c r="L116" s="23">
        <f>IF(AND(B116="",C116="",D116=""),"",IF(C116="","Falta alumno/a",IF(ISNA(MATCH(C116,Alumnado!$B$7:$B$46,0)),"Alumno/a no está en la lista",IF(D116="","Falta título",IF(B116="","Falta fecha",IF(OR(B116&lt;Panel!$C$9,B116&gt;Panel!$C$10),"Fuera del curso",IF(G116="","Faltan páginas",IF(H116="","Sin valorar","OK"))))))))</f>
        <v/>
      </c>
    </row>
    <row r="117" ht="20" customHeight="1">
      <c r="B117" s="10" t="n"/>
      <c r="C117" s="12" t="n"/>
      <c r="D117" s="12" t="n"/>
      <c r="E117" s="12" t="n"/>
      <c r="F117" s="12" t="n"/>
      <c r="G117" s="31" t="n"/>
      <c r="H117" s="13" t="n"/>
      <c r="I117" s="12" t="n"/>
      <c r="J117" s="23">
        <f>IF(C117="","",IFERROR(VLOOKUP(C117,Alumnado!$B$7:$C$46,2,FALSE),"?"))</f>
        <v/>
      </c>
      <c r="K117" s="23">
        <f>IF(OR(C117="",H117=""),"",REPT("★",H117)&amp;REPT("☆",5-H117))</f>
        <v/>
      </c>
      <c r="L117" s="23">
        <f>IF(AND(B117="",C117="",D117=""),"",IF(C117="","Falta alumno/a",IF(ISNA(MATCH(C117,Alumnado!$B$7:$B$46,0)),"Alumno/a no está en la lista",IF(D117="","Falta título",IF(B117="","Falta fecha",IF(OR(B117&lt;Panel!$C$9,B117&gt;Panel!$C$10),"Fuera del curso",IF(G117="","Faltan páginas",IF(H117="","Sin valorar","OK"))))))))</f>
        <v/>
      </c>
    </row>
    <row r="118" ht="20" customHeight="1">
      <c r="B118" s="10" t="n"/>
      <c r="C118" s="12" t="n"/>
      <c r="D118" s="12" t="n"/>
      <c r="E118" s="12" t="n"/>
      <c r="F118" s="12" t="n"/>
      <c r="G118" s="31" t="n"/>
      <c r="H118" s="13" t="n"/>
      <c r="I118" s="12" t="n"/>
      <c r="J118" s="23">
        <f>IF(C118="","",IFERROR(VLOOKUP(C118,Alumnado!$B$7:$C$46,2,FALSE),"?"))</f>
        <v/>
      </c>
      <c r="K118" s="23">
        <f>IF(OR(C118="",H118=""),"",REPT("★",H118)&amp;REPT("☆",5-H118))</f>
        <v/>
      </c>
      <c r="L118" s="23">
        <f>IF(AND(B118="",C118="",D118=""),"",IF(C118="","Falta alumno/a",IF(ISNA(MATCH(C118,Alumnado!$B$7:$B$46,0)),"Alumno/a no está en la lista",IF(D118="","Falta título",IF(B118="","Falta fecha",IF(OR(B118&lt;Panel!$C$9,B118&gt;Panel!$C$10),"Fuera del curso",IF(G118="","Faltan páginas",IF(H118="","Sin valorar","OK"))))))))</f>
        <v/>
      </c>
    </row>
    <row r="119" ht="20" customHeight="1">
      <c r="B119" s="10" t="n"/>
      <c r="C119" s="12" t="n"/>
      <c r="D119" s="12" t="n"/>
      <c r="E119" s="12" t="n"/>
      <c r="F119" s="12" t="n"/>
      <c r="G119" s="31" t="n"/>
      <c r="H119" s="13" t="n"/>
      <c r="I119" s="12" t="n"/>
      <c r="J119" s="23">
        <f>IF(C119="","",IFERROR(VLOOKUP(C119,Alumnado!$B$7:$C$46,2,FALSE),"?"))</f>
        <v/>
      </c>
      <c r="K119" s="23">
        <f>IF(OR(C119="",H119=""),"",REPT("★",H119)&amp;REPT("☆",5-H119))</f>
        <v/>
      </c>
      <c r="L119" s="23">
        <f>IF(AND(B119="",C119="",D119=""),"",IF(C119="","Falta alumno/a",IF(ISNA(MATCH(C119,Alumnado!$B$7:$B$46,0)),"Alumno/a no está en la lista",IF(D119="","Falta título",IF(B119="","Falta fecha",IF(OR(B119&lt;Panel!$C$9,B119&gt;Panel!$C$10),"Fuera del curso",IF(G119="","Faltan páginas",IF(H119="","Sin valorar","OK"))))))))</f>
        <v/>
      </c>
    </row>
    <row r="120" ht="20" customHeight="1">
      <c r="B120" s="10" t="n"/>
      <c r="C120" s="12" t="n"/>
      <c r="D120" s="12" t="n"/>
      <c r="E120" s="12" t="n"/>
      <c r="F120" s="12" t="n"/>
      <c r="G120" s="31" t="n"/>
      <c r="H120" s="13" t="n"/>
      <c r="I120" s="12" t="n"/>
      <c r="J120" s="23">
        <f>IF(C120="","",IFERROR(VLOOKUP(C120,Alumnado!$B$7:$C$46,2,FALSE),"?"))</f>
        <v/>
      </c>
      <c r="K120" s="23">
        <f>IF(OR(C120="",H120=""),"",REPT("★",H120)&amp;REPT("☆",5-H120))</f>
        <v/>
      </c>
      <c r="L120" s="23">
        <f>IF(AND(B120="",C120="",D120=""),"",IF(C120="","Falta alumno/a",IF(ISNA(MATCH(C120,Alumnado!$B$7:$B$46,0)),"Alumno/a no está en la lista",IF(D120="","Falta título",IF(B120="","Falta fecha",IF(OR(B120&lt;Panel!$C$9,B120&gt;Panel!$C$10),"Fuera del curso",IF(G120="","Faltan páginas",IF(H120="","Sin valorar","OK"))))))))</f>
        <v/>
      </c>
    </row>
    <row r="121" ht="20" customHeight="1">
      <c r="B121" s="10" t="n"/>
      <c r="C121" s="12" t="n"/>
      <c r="D121" s="12" t="n"/>
      <c r="E121" s="12" t="n"/>
      <c r="F121" s="12" t="n"/>
      <c r="G121" s="31" t="n"/>
      <c r="H121" s="13" t="n"/>
      <c r="I121" s="12" t="n"/>
      <c r="J121" s="23">
        <f>IF(C121="","",IFERROR(VLOOKUP(C121,Alumnado!$B$7:$C$46,2,FALSE),"?"))</f>
        <v/>
      </c>
      <c r="K121" s="23">
        <f>IF(OR(C121="",H121=""),"",REPT("★",H121)&amp;REPT("☆",5-H121))</f>
        <v/>
      </c>
      <c r="L121" s="23">
        <f>IF(AND(B121="",C121="",D121=""),"",IF(C121="","Falta alumno/a",IF(ISNA(MATCH(C121,Alumnado!$B$7:$B$46,0)),"Alumno/a no está en la lista",IF(D121="","Falta título",IF(B121="","Falta fecha",IF(OR(B121&lt;Panel!$C$9,B121&gt;Panel!$C$10),"Fuera del curso",IF(G121="","Faltan páginas",IF(H121="","Sin valorar","OK"))))))))</f>
        <v/>
      </c>
    </row>
    <row r="122" ht="20" customHeight="1">
      <c r="B122" s="10" t="n"/>
      <c r="C122" s="12" t="n"/>
      <c r="D122" s="12" t="n"/>
      <c r="E122" s="12" t="n"/>
      <c r="F122" s="12" t="n"/>
      <c r="G122" s="31" t="n"/>
      <c r="H122" s="13" t="n"/>
      <c r="I122" s="12" t="n"/>
      <c r="J122" s="23">
        <f>IF(C122="","",IFERROR(VLOOKUP(C122,Alumnado!$B$7:$C$46,2,FALSE),"?"))</f>
        <v/>
      </c>
      <c r="K122" s="23">
        <f>IF(OR(C122="",H122=""),"",REPT("★",H122)&amp;REPT("☆",5-H122))</f>
        <v/>
      </c>
      <c r="L122" s="23">
        <f>IF(AND(B122="",C122="",D122=""),"",IF(C122="","Falta alumno/a",IF(ISNA(MATCH(C122,Alumnado!$B$7:$B$46,0)),"Alumno/a no está en la lista",IF(D122="","Falta título",IF(B122="","Falta fecha",IF(OR(B122&lt;Panel!$C$9,B122&gt;Panel!$C$10),"Fuera del curso",IF(G122="","Faltan páginas",IF(H122="","Sin valorar","OK"))))))))</f>
        <v/>
      </c>
    </row>
    <row r="123" ht="20" customHeight="1">
      <c r="B123" s="10" t="n"/>
      <c r="C123" s="12" t="n"/>
      <c r="D123" s="12" t="n"/>
      <c r="E123" s="12" t="n"/>
      <c r="F123" s="12" t="n"/>
      <c r="G123" s="31" t="n"/>
      <c r="H123" s="13" t="n"/>
      <c r="I123" s="12" t="n"/>
      <c r="J123" s="23">
        <f>IF(C123="","",IFERROR(VLOOKUP(C123,Alumnado!$B$7:$C$46,2,FALSE),"?"))</f>
        <v/>
      </c>
      <c r="K123" s="23">
        <f>IF(OR(C123="",H123=""),"",REPT("★",H123)&amp;REPT("☆",5-H123))</f>
        <v/>
      </c>
      <c r="L123" s="23">
        <f>IF(AND(B123="",C123="",D123=""),"",IF(C123="","Falta alumno/a",IF(ISNA(MATCH(C123,Alumnado!$B$7:$B$46,0)),"Alumno/a no está en la lista",IF(D123="","Falta título",IF(B123="","Falta fecha",IF(OR(B123&lt;Panel!$C$9,B123&gt;Panel!$C$10),"Fuera del curso",IF(G123="","Faltan páginas",IF(H123="","Sin valorar","OK"))))))))</f>
        <v/>
      </c>
    </row>
    <row r="124" ht="20" customHeight="1">
      <c r="B124" s="10" t="n"/>
      <c r="C124" s="12" t="n"/>
      <c r="D124" s="12" t="n"/>
      <c r="E124" s="12" t="n"/>
      <c r="F124" s="12" t="n"/>
      <c r="G124" s="31" t="n"/>
      <c r="H124" s="13" t="n"/>
      <c r="I124" s="12" t="n"/>
      <c r="J124" s="23">
        <f>IF(C124="","",IFERROR(VLOOKUP(C124,Alumnado!$B$7:$C$46,2,FALSE),"?"))</f>
        <v/>
      </c>
      <c r="K124" s="23">
        <f>IF(OR(C124="",H124=""),"",REPT("★",H124)&amp;REPT("☆",5-H124))</f>
        <v/>
      </c>
      <c r="L124" s="23">
        <f>IF(AND(B124="",C124="",D124=""),"",IF(C124="","Falta alumno/a",IF(ISNA(MATCH(C124,Alumnado!$B$7:$B$46,0)),"Alumno/a no está en la lista",IF(D124="","Falta título",IF(B124="","Falta fecha",IF(OR(B124&lt;Panel!$C$9,B124&gt;Panel!$C$10),"Fuera del curso",IF(G124="","Faltan páginas",IF(H124="","Sin valorar","OK"))))))))</f>
        <v/>
      </c>
    </row>
    <row r="125" ht="20" customHeight="1">
      <c r="B125" s="10" t="n"/>
      <c r="C125" s="12" t="n"/>
      <c r="D125" s="12" t="n"/>
      <c r="E125" s="12" t="n"/>
      <c r="F125" s="12" t="n"/>
      <c r="G125" s="31" t="n"/>
      <c r="H125" s="13" t="n"/>
      <c r="I125" s="12" t="n"/>
      <c r="J125" s="23">
        <f>IF(C125="","",IFERROR(VLOOKUP(C125,Alumnado!$B$7:$C$46,2,FALSE),"?"))</f>
        <v/>
      </c>
      <c r="K125" s="23">
        <f>IF(OR(C125="",H125=""),"",REPT("★",H125)&amp;REPT("☆",5-H125))</f>
        <v/>
      </c>
      <c r="L125" s="23">
        <f>IF(AND(B125="",C125="",D125=""),"",IF(C125="","Falta alumno/a",IF(ISNA(MATCH(C125,Alumnado!$B$7:$B$46,0)),"Alumno/a no está en la lista",IF(D125="","Falta título",IF(B125="","Falta fecha",IF(OR(B125&lt;Panel!$C$9,B125&gt;Panel!$C$10),"Fuera del curso",IF(G125="","Faltan páginas",IF(H125="","Sin valorar","OK"))))))))</f>
        <v/>
      </c>
    </row>
    <row r="126" ht="20" customHeight="1">
      <c r="B126" s="10" t="n"/>
      <c r="C126" s="12" t="n"/>
      <c r="D126" s="12" t="n"/>
      <c r="E126" s="12" t="n"/>
      <c r="F126" s="12" t="n"/>
      <c r="G126" s="31" t="n"/>
      <c r="H126" s="13" t="n"/>
      <c r="I126" s="12" t="n"/>
      <c r="J126" s="23">
        <f>IF(C126="","",IFERROR(VLOOKUP(C126,Alumnado!$B$7:$C$46,2,FALSE),"?"))</f>
        <v/>
      </c>
      <c r="K126" s="23">
        <f>IF(OR(C126="",H126=""),"",REPT("★",H126)&amp;REPT("☆",5-H126))</f>
        <v/>
      </c>
      <c r="L126" s="23">
        <f>IF(AND(B126="",C126="",D126=""),"",IF(C126="","Falta alumno/a",IF(ISNA(MATCH(C126,Alumnado!$B$7:$B$46,0)),"Alumno/a no está en la lista",IF(D126="","Falta título",IF(B126="","Falta fecha",IF(OR(B126&lt;Panel!$C$9,B126&gt;Panel!$C$10),"Fuera del curso",IF(G126="","Faltan páginas",IF(H126="","Sin valorar","OK"))))))))</f>
        <v/>
      </c>
    </row>
    <row r="127" ht="20" customHeight="1">
      <c r="B127" s="10" t="n"/>
      <c r="C127" s="12" t="n"/>
      <c r="D127" s="12" t="n"/>
      <c r="E127" s="12" t="n"/>
      <c r="F127" s="12" t="n"/>
      <c r="G127" s="31" t="n"/>
      <c r="H127" s="13" t="n"/>
      <c r="I127" s="12" t="n"/>
      <c r="J127" s="23">
        <f>IF(C127="","",IFERROR(VLOOKUP(C127,Alumnado!$B$7:$C$46,2,FALSE),"?"))</f>
        <v/>
      </c>
      <c r="K127" s="23">
        <f>IF(OR(C127="",H127=""),"",REPT("★",H127)&amp;REPT("☆",5-H127))</f>
        <v/>
      </c>
      <c r="L127" s="23">
        <f>IF(AND(B127="",C127="",D127=""),"",IF(C127="","Falta alumno/a",IF(ISNA(MATCH(C127,Alumnado!$B$7:$B$46,0)),"Alumno/a no está en la lista",IF(D127="","Falta título",IF(B127="","Falta fecha",IF(OR(B127&lt;Panel!$C$9,B127&gt;Panel!$C$10),"Fuera del curso",IF(G127="","Faltan páginas",IF(H127="","Sin valorar","OK"))))))))</f>
        <v/>
      </c>
    </row>
    <row r="128" ht="20" customHeight="1">
      <c r="B128" s="10" t="n"/>
      <c r="C128" s="12" t="n"/>
      <c r="D128" s="12" t="n"/>
      <c r="E128" s="12" t="n"/>
      <c r="F128" s="12" t="n"/>
      <c r="G128" s="31" t="n"/>
      <c r="H128" s="13" t="n"/>
      <c r="I128" s="12" t="n"/>
      <c r="J128" s="23">
        <f>IF(C128="","",IFERROR(VLOOKUP(C128,Alumnado!$B$7:$C$46,2,FALSE),"?"))</f>
        <v/>
      </c>
      <c r="K128" s="23">
        <f>IF(OR(C128="",H128=""),"",REPT("★",H128)&amp;REPT("☆",5-H128))</f>
        <v/>
      </c>
      <c r="L128" s="23">
        <f>IF(AND(B128="",C128="",D128=""),"",IF(C128="","Falta alumno/a",IF(ISNA(MATCH(C128,Alumnado!$B$7:$B$46,0)),"Alumno/a no está en la lista",IF(D128="","Falta título",IF(B128="","Falta fecha",IF(OR(B128&lt;Panel!$C$9,B128&gt;Panel!$C$10),"Fuera del curso",IF(G128="","Faltan páginas",IF(H128="","Sin valorar","OK"))))))))</f>
        <v/>
      </c>
    </row>
    <row r="129" ht="20" customHeight="1">
      <c r="B129" s="10" t="n"/>
      <c r="C129" s="12" t="n"/>
      <c r="D129" s="12" t="n"/>
      <c r="E129" s="12" t="n"/>
      <c r="F129" s="12" t="n"/>
      <c r="G129" s="31" t="n"/>
      <c r="H129" s="13" t="n"/>
      <c r="I129" s="12" t="n"/>
      <c r="J129" s="23">
        <f>IF(C129="","",IFERROR(VLOOKUP(C129,Alumnado!$B$7:$C$46,2,FALSE),"?"))</f>
        <v/>
      </c>
      <c r="K129" s="23">
        <f>IF(OR(C129="",H129=""),"",REPT("★",H129)&amp;REPT("☆",5-H129))</f>
        <v/>
      </c>
      <c r="L129" s="23">
        <f>IF(AND(B129="",C129="",D129=""),"",IF(C129="","Falta alumno/a",IF(ISNA(MATCH(C129,Alumnado!$B$7:$B$46,0)),"Alumno/a no está en la lista",IF(D129="","Falta título",IF(B129="","Falta fecha",IF(OR(B129&lt;Panel!$C$9,B129&gt;Panel!$C$10),"Fuera del curso",IF(G129="","Faltan páginas",IF(H129="","Sin valorar","OK"))))))))</f>
        <v/>
      </c>
    </row>
    <row r="130" ht="20" customHeight="1">
      <c r="B130" s="10" t="n"/>
      <c r="C130" s="12" t="n"/>
      <c r="D130" s="12" t="n"/>
      <c r="E130" s="12" t="n"/>
      <c r="F130" s="12" t="n"/>
      <c r="G130" s="31" t="n"/>
      <c r="H130" s="13" t="n"/>
      <c r="I130" s="12" t="n"/>
      <c r="J130" s="23">
        <f>IF(C130="","",IFERROR(VLOOKUP(C130,Alumnado!$B$7:$C$46,2,FALSE),"?"))</f>
        <v/>
      </c>
      <c r="K130" s="23">
        <f>IF(OR(C130="",H130=""),"",REPT("★",H130)&amp;REPT("☆",5-H130))</f>
        <v/>
      </c>
      <c r="L130" s="23">
        <f>IF(AND(B130="",C130="",D130=""),"",IF(C130="","Falta alumno/a",IF(ISNA(MATCH(C130,Alumnado!$B$7:$B$46,0)),"Alumno/a no está en la lista",IF(D130="","Falta título",IF(B130="","Falta fecha",IF(OR(B130&lt;Panel!$C$9,B130&gt;Panel!$C$10),"Fuera del curso",IF(G130="","Faltan páginas",IF(H130="","Sin valorar","OK"))))))))</f>
        <v/>
      </c>
    </row>
    <row r="131" ht="20" customHeight="1">
      <c r="B131" s="10" t="n"/>
      <c r="C131" s="12" t="n"/>
      <c r="D131" s="12" t="n"/>
      <c r="E131" s="12" t="n"/>
      <c r="F131" s="12" t="n"/>
      <c r="G131" s="31" t="n"/>
      <c r="H131" s="13" t="n"/>
      <c r="I131" s="12" t="n"/>
      <c r="J131" s="23">
        <f>IF(C131="","",IFERROR(VLOOKUP(C131,Alumnado!$B$7:$C$46,2,FALSE),"?"))</f>
        <v/>
      </c>
      <c r="K131" s="23">
        <f>IF(OR(C131="",H131=""),"",REPT("★",H131)&amp;REPT("☆",5-H131))</f>
        <v/>
      </c>
      <c r="L131" s="23">
        <f>IF(AND(B131="",C131="",D131=""),"",IF(C131="","Falta alumno/a",IF(ISNA(MATCH(C131,Alumnado!$B$7:$B$46,0)),"Alumno/a no está en la lista",IF(D131="","Falta título",IF(B131="","Falta fecha",IF(OR(B131&lt;Panel!$C$9,B131&gt;Panel!$C$10),"Fuera del curso",IF(G131="","Faltan páginas",IF(H131="","Sin valorar","OK"))))))))</f>
        <v/>
      </c>
    </row>
    <row r="132" ht="20" customHeight="1">
      <c r="B132" s="10" t="n"/>
      <c r="C132" s="12" t="n"/>
      <c r="D132" s="12" t="n"/>
      <c r="E132" s="12" t="n"/>
      <c r="F132" s="12" t="n"/>
      <c r="G132" s="31" t="n"/>
      <c r="H132" s="13" t="n"/>
      <c r="I132" s="12" t="n"/>
      <c r="J132" s="23">
        <f>IF(C132="","",IFERROR(VLOOKUP(C132,Alumnado!$B$7:$C$46,2,FALSE),"?"))</f>
        <v/>
      </c>
      <c r="K132" s="23">
        <f>IF(OR(C132="",H132=""),"",REPT("★",H132)&amp;REPT("☆",5-H132))</f>
        <v/>
      </c>
      <c r="L132" s="23">
        <f>IF(AND(B132="",C132="",D132=""),"",IF(C132="","Falta alumno/a",IF(ISNA(MATCH(C132,Alumnado!$B$7:$B$46,0)),"Alumno/a no está en la lista",IF(D132="","Falta título",IF(B132="","Falta fecha",IF(OR(B132&lt;Panel!$C$9,B132&gt;Panel!$C$10),"Fuera del curso",IF(G132="","Faltan páginas",IF(H132="","Sin valorar","OK"))))))))</f>
        <v/>
      </c>
    </row>
    <row r="133" ht="20" customHeight="1">
      <c r="B133" s="10" t="n"/>
      <c r="C133" s="12" t="n"/>
      <c r="D133" s="12" t="n"/>
      <c r="E133" s="12" t="n"/>
      <c r="F133" s="12" t="n"/>
      <c r="G133" s="31" t="n"/>
      <c r="H133" s="13" t="n"/>
      <c r="I133" s="12" t="n"/>
      <c r="J133" s="23">
        <f>IF(C133="","",IFERROR(VLOOKUP(C133,Alumnado!$B$7:$C$46,2,FALSE),"?"))</f>
        <v/>
      </c>
      <c r="K133" s="23">
        <f>IF(OR(C133="",H133=""),"",REPT("★",H133)&amp;REPT("☆",5-H133))</f>
        <v/>
      </c>
      <c r="L133" s="23">
        <f>IF(AND(B133="",C133="",D133=""),"",IF(C133="","Falta alumno/a",IF(ISNA(MATCH(C133,Alumnado!$B$7:$B$46,0)),"Alumno/a no está en la lista",IF(D133="","Falta título",IF(B133="","Falta fecha",IF(OR(B133&lt;Panel!$C$9,B133&gt;Panel!$C$10),"Fuera del curso",IF(G133="","Faltan páginas",IF(H133="","Sin valorar","OK"))))))))</f>
        <v/>
      </c>
    </row>
    <row r="134" ht="20" customHeight="1">
      <c r="B134" s="10" t="n"/>
      <c r="C134" s="12" t="n"/>
      <c r="D134" s="12" t="n"/>
      <c r="E134" s="12" t="n"/>
      <c r="F134" s="12" t="n"/>
      <c r="G134" s="31" t="n"/>
      <c r="H134" s="13" t="n"/>
      <c r="I134" s="12" t="n"/>
      <c r="J134" s="23">
        <f>IF(C134="","",IFERROR(VLOOKUP(C134,Alumnado!$B$7:$C$46,2,FALSE),"?"))</f>
        <v/>
      </c>
      <c r="K134" s="23">
        <f>IF(OR(C134="",H134=""),"",REPT("★",H134)&amp;REPT("☆",5-H134))</f>
        <v/>
      </c>
      <c r="L134" s="23">
        <f>IF(AND(B134="",C134="",D134=""),"",IF(C134="","Falta alumno/a",IF(ISNA(MATCH(C134,Alumnado!$B$7:$B$46,0)),"Alumno/a no está en la lista",IF(D134="","Falta título",IF(B134="","Falta fecha",IF(OR(B134&lt;Panel!$C$9,B134&gt;Panel!$C$10),"Fuera del curso",IF(G134="","Faltan páginas",IF(H134="","Sin valorar","OK"))))))))</f>
        <v/>
      </c>
    </row>
    <row r="135" ht="20" customHeight="1">
      <c r="B135" s="10" t="n"/>
      <c r="C135" s="12" t="n"/>
      <c r="D135" s="12" t="n"/>
      <c r="E135" s="12" t="n"/>
      <c r="F135" s="12" t="n"/>
      <c r="G135" s="31" t="n"/>
      <c r="H135" s="13" t="n"/>
      <c r="I135" s="12" t="n"/>
      <c r="J135" s="23">
        <f>IF(C135="","",IFERROR(VLOOKUP(C135,Alumnado!$B$7:$C$46,2,FALSE),"?"))</f>
        <v/>
      </c>
      <c r="K135" s="23">
        <f>IF(OR(C135="",H135=""),"",REPT("★",H135)&amp;REPT("☆",5-H135))</f>
        <v/>
      </c>
      <c r="L135" s="23">
        <f>IF(AND(B135="",C135="",D135=""),"",IF(C135="","Falta alumno/a",IF(ISNA(MATCH(C135,Alumnado!$B$7:$B$46,0)),"Alumno/a no está en la lista",IF(D135="","Falta título",IF(B135="","Falta fecha",IF(OR(B135&lt;Panel!$C$9,B135&gt;Panel!$C$10),"Fuera del curso",IF(G135="","Faltan páginas",IF(H135="","Sin valorar","OK"))))))))</f>
        <v/>
      </c>
    </row>
    <row r="136" ht="20" customHeight="1">
      <c r="B136" s="10" t="n"/>
      <c r="C136" s="12" t="n"/>
      <c r="D136" s="12" t="n"/>
      <c r="E136" s="12" t="n"/>
      <c r="F136" s="12" t="n"/>
      <c r="G136" s="31" t="n"/>
      <c r="H136" s="13" t="n"/>
      <c r="I136" s="12" t="n"/>
      <c r="J136" s="23">
        <f>IF(C136="","",IFERROR(VLOOKUP(C136,Alumnado!$B$7:$C$46,2,FALSE),"?"))</f>
        <v/>
      </c>
      <c r="K136" s="23">
        <f>IF(OR(C136="",H136=""),"",REPT("★",H136)&amp;REPT("☆",5-H136))</f>
        <v/>
      </c>
      <c r="L136" s="23">
        <f>IF(AND(B136="",C136="",D136=""),"",IF(C136="","Falta alumno/a",IF(ISNA(MATCH(C136,Alumnado!$B$7:$B$46,0)),"Alumno/a no está en la lista",IF(D136="","Falta título",IF(B136="","Falta fecha",IF(OR(B136&lt;Panel!$C$9,B136&gt;Panel!$C$10),"Fuera del curso",IF(G136="","Faltan páginas",IF(H136="","Sin valorar","OK"))))))))</f>
        <v/>
      </c>
    </row>
    <row r="137" ht="20" customHeight="1">
      <c r="B137" s="10" t="n"/>
      <c r="C137" s="12" t="n"/>
      <c r="D137" s="12" t="n"/>
      <c r="E137" s="12" t="n"/>
      <c r="F137" s="12" t="n"/>
      <c r="G137" s="31" t="n"/>
      <c r="H137" s="13" t="n"/>
      <c r="I137" s="12" t="n"/>
      <c r="J137" s="23">
        <f>IF(C137="","",IFERROR(VLOOKUP(C137,Alumnado!$B$7:$C$46,2,FALSE),"?"))</f>
        <v/>
      </c>
      <c r="K137" s="23">
        <f>IF(OR(C137="",H137=""),"",REPT("★",H137)&amp;REPT("☆",5-H137))</f>
        <v/>
      </c>
      <c r="L137" s="23">
        <f>IF(AND(B137="",C137="",D137=""),"",IF(C137="","Falta alumno/a",IF(ISNA(MATCH(C137,Alumnado!$B$7:$B$46,0)),"Alumno/a no está en la lista",IF(D137="","Falta título",IF(B137="","Falta fecha",IF(OR(B137&lt;Panel!$C$9,B137&gt;Panel!$C$10),"Fuera del curso",IF(G137="","Faltan páginas",IF(H137="","Sin valorar","OK"))))))))</f>
        <v/>
      </c>
    </row>
    <row r="138" ht="20" customHeight="1">
      <c r="B138" s="10" t="n"/>
      <c r="C138" s="12" t="n"/>
      <c r="D138" s="12" t="n"/>
      <c r="E138" s="12" t="n"/>
      <c r="F138" s="12" t="n"/>
      <c r="G138" s="31" t="n"/>
      <c r="H138" s="13" t="n"/>
      <c r="I138" s="12" t="n"/>
      <c r="J138" s="23">
        <f>IF(C138="","",IFERROR(VLOOKUP(C138,Alumnado!$B$7:$C$46,2,FALSE),"?"))</f>
        <v/>
      </c>
      <c r="K138" s="23">
        <f>IF(OR(C138="",H138=""),"",REPT("★",H138)&amp;REPT("☆",5-H138))</f>
        <v/>
      </c>
      <c r="L138" s="23">
        <f>IF(AND(B138="",C138="",D138=""),"",IF(C138="","Falta alumno/a",IF(ISNA(MATCH(C138,Alumnado!$B$7:$B$46,0)),"Alumno/a no está en la lista",IF(D138="","Falta título",IF(B138="","Falta fecha",IF(OR(B138&lt;Panel!$C$9,B138&gt;Panel!$C$10),"Fuera del curso",IF(G138="","Faltan páginas",IF(H138="","Sin valorar","OK"))))))))</f>
        <v/>
      </c>
    </row>
    <row r="139" ht="20" customHeight="1">
      <c r="B139" s="10" t="n"/>
      <c r="C139" s="12" t="n"/>
      <c r="D139" s="12" t="n"/>
      <c r="E139" s="12" t="n"/>
      <c r="F139" s="12" t="n"/>
      <c r="G139" s="31" t="n"/>
      <c r="H139" s="13" t="n"/>
      <c r="I139" s="12" t="n"/>
      <c r="J139" s="23">
        <f>IF(C139="","",IFERROR(VLOOKUP(C139,Alumnado!$B$7:$C$46,2,FALSE),"?"))</f>
        <v/>
      </c>
      <c r="K139" s="23">
        <f>IF(OR(C139="",H139=""),"",REPT("★",H139)&amp;REPT("☆",5-H139))</f>
        <v/>
      </c>
      <c r="L139" s="23">
        <f>IF(AND(B139="",C139="",D139=""),"",IF(C139="","Falta alumno/a",IF(ISNA(MATCH(C139,Alumnado!$B$7:$B$46,0)),"Alumno/a no está en la lista",IF(D139="","Falta título",IF(B139="","Falta fecha",IF(OR(B139&lt;Panel!$C$9,B139&gt;Panel!$C$10),"Fuera del curso",IF(G139="","Faltan páginas",IF(H139="","Sin valorar","OK"))))))))</f>
        <v/>
      </c>
    </row>
    <row r="140" ht="20" customHeight="1">
      <c r="B140" s="10" t="n"/>
      <c r="C140" s="12" t="n"/>
      <c r="D140" s="12" t="n"/>
      <c r="E140" s="12" t="n"/>
      <c r="F140" s="12" t="n"/>
      <c r="G140" s="31" t="n"/>
      <c r="H140" s="13" t="n"/>
      <c r="I140" s="12" t="n"/>
      <c r="J140" s="23">
        <f>IF(C140="","",IFERROR(VLOOKUP(C140,Alumnado!$B$7:$C$46,2,FALSE),"?"))</f>
        <v/>
      </c>
      <c r="K140" s="23">
        <f>IF(OR(C140="",H140=""),"",REPT("★",H140)&amp;REPT("☆",5-H140))</f>
        <v/>
      </c>
      <c r="L140" s="23">
        <f>IF(AND(B140="",C140="",D140=""),"",IF(C140="","Falta alumno/a",IF(ISNA(MATCH(C140,Alumnado!$B$7:$B$46,0)),"Alumno/a no está en la lista",IF(D140="","Falta título",IF(B140="","Falta fecha",IF(OR(B140&lt;Panel!$C$9,B140&gt;Panel!$C$10),"Fuera del curso",IF(G140="","Faltan páginas",IF(H140="","Sin valorar","OK"))))))))</f>
        <v/>
      </c>
    </row>
    <row r="141" ht="20" customHeight="1">
      <c r="B141" s="10" t="n"/>
      <c r="C141" s="12" t="n"/>
      <c r="D141" s="12" t="n"/>
      <c r="E141" s="12" t="n"/>
      <c r="F141" s="12" t="n"/>
      <c r="G141" s="31" t="n"/>
      <c r="H141" s="13" t="n"/>
      <c r="I141" s="12" t="n"/>
      <c r="J141" s="23">
        <f>IF(C141="","",IFERROR(VLOOKUP(C141,Alumnado!$B$7:$C$46,2,FALSE),"?"))</f>
        <v/>
      </c>
      <c r="K141" s="23">
        <f>IF(OR(C141="",H141=""),"",REPT("★",H141)&amp;REPT("☆",5-H141))</f>
        <v/>
      </c>
      <c r="L141" s="23">
        <f>IF(AND(B141="",C141="",D141=""),"",IF(C141="","Falta alumno/a",IF(ISNA(MATCH(C141,Alumnado!$B$7:$B$46,0)),"Alumno/a no está en la lista",IF(D141="","Falta título",IF(B141="","Falta fecha",IF(OR(B141&lt;Panel!$C$9,B141&gt;Panel!$C$10),"Fuera del curso",IF(G141="","Faltan páginas",IF(H141="","Sin valorar","OK"))))))))</f>
        <v/>
      </c>
    </row>
    <row r="142" ht="20" customHeight="1">
      <c r="B142" s="10" t="n"/>
      <c r="C142" s="12" t="n"/>
      <c r="D142" s="12" t="n"/>
      <c r="E142" s="12" t="n"/>
      <c r="F142" s="12" t="n"/>
      <c r="G142" s="31" t="n"/>
      <c r="H142" s="13" t="n"/>
      <c r="I142" s="12" t="n"/>
      <c r="J142" s="23">
        <f>IF(C142="","",IFERROR(VLOOKUP(C142,Alumnado!$B$7:$C$46,2,FALSE),"?"))</f>
        <v/>
      </c>
      <c r="K142" s="23">
        <f>IF(OR(C142="",H142=""),"",REPT("★",H142)&amp;REPT("☆",5-H142))</f>
        <v/>
      </c>
      <c r="L142" s="23">
        <f>IF(AND(B142="",C142="",D142=""),"",IF(C142="","Falta alumno/a",IF(ISNA(MATCH(C142,Alumnado!$B$7:$B$46,0)),"Alumno/a no está en la lista",IF(D142="","Falta título",IF(B142="","Falta fecha",IF(OR(B142&lt;Panel!$C$9,B142&gt;Panel!$C$10),"Fuera del curso",IF(G142="","Faltan páginas",IF(H142="","Sin valorar","OK"))))))))</f>
        <v/>
      </c>
    </row>
    <row r="143" ht="20" customHeight="1">
      <c r="B143" s="10" t="n"/>
      <c r="C143" s="12" t="n"/>
      <c r="D143" s="12" t="n"/>
      <c r="E143" s="12" t="n"/>
      <c r="F143" s="12" t="n"/>
      <c r="G143" s="31" t="n"/>
      <c r="H143" s="13" t="n"/>
      <c r="I143" s="12" t="n"/>
      <c r="J143" s="23">
        <f>IF(C143="","",IFERROR(VLOOKUP(C143,Alumnado!$B$7:$C$46,2,FALSE),"?"))</f>
        <v/>
      </c>
      <c r="K143" s="23">
        <f>IF(OR(C143="",H143=""),"",REPT("★",H143)&amp;REPT("☆",5-H143))</f>
        <v/>
      </c>
      <c r="L143" s="23">
        <f>IF(AND(B143="",C143="",D143=""),"",IF(C143="","Falta alumno/a",IF(ISNA(MATCH(C143,Alumnado!$B$7:$B$46,0)),"Alumno/a no está en la lista",IF(D143="","Falta título",IF(B143="","Falta fecha",IF(OR(B143&lt;Panel!$C$9,B143&gt;Panel!$C$10),"Fuera del curso",IF(G143="","Faltan páginas",IF(H143="","Sin valorar","OK"))))))))</f>
        <v/>
      </c>
    </row>
    <row r="144" ht="20" customHeight="1">
      <c r="B144" s="10" t="n"/>
      <c r="C144" s="12" t="n"/>
      <c r="D144" s="12" t="n"/>
      <c r="E144" s="12" t="n"/>
      <c r="F144" s="12" t="n"/>
      <c r="G144" s="31" t="n"/>
      <c r="H144" s="13" t="n"/>
      <c r="I144" s="12" t="n"/>
      <c r="J144" s="23">
        <f>IF(C144="","",IFERROR(VLOOKUP(C144,Alumnado!$B$7:$C$46,2,FALSE),"?"))</f>
        <v/>
      </c>
      <c r="K144" s="23">
        <f>IF(OR(C144="",H144=""),"",REPT("★",H144)&amp;REPT("☆",5-H144))</f>
        <v/>
      </c>
      <c r="L144" s="23">
        <f>IF(AND(B144="",C144="",D144=""),"",IF(C144="","Falta alumno/a",IF(ISNA(MATCH(C144,Alumnado!$B$7:$B$46,0)),"Alumno/a no está en la lista",IF(D144="","Falta título",IF(B144="","Falta fecha",IF(OR(B144&lt;Panel!$C$9,B144&gt;Panel!$C$10),"Fuera del curso",IF(G144="","Faltan páginas",IF(H144="","Sin valorar","OK"))))))))</f>
        <v/>
      </c>
    </row>
    <row r="145" ht="20" customHeight="1">
      <c r="B145" s="10" t="n"/>
      <c r="C145" s="12" t="n"/>
      <c r="D145" s="12" t="n"/>
      <c r="E145" s="12" t="n"/>
      <c r="F145" s="12" t="n"/>
      <c r="G145" s="31" t="n"/>
      <c r="H145" s="13" t="n"/>
      <c r="I145" s="12" t="n"/>
      <c r="J145" s="23">
        <f>IF(C145="","",IFERROR(VLOOKUP(C145,Alumnado!$B$7:$C$46,2,FALSE),"?"))</f>
        <v/>
      </c>
      <c r="K145" s="23">
        <f>IF(OR(C145="",H145=""),"",REPT("★",H145)&amp;REPT("☆",5-H145))</f>
        <v/>
      </c>
      <c r="L145" s="23">
        <f>IF(AND(B145="",C145="",D145=""),"",IF(C145="","Falta alumno/a",IF(ISNA(MATCH(C145,Alumnado!$B$7:$B$46,0)),"Alumno/a no está en la lista",IF(D145="","Falta título",IF(B145="","Falta fecha",IF(OR(B145&lt;Panel!$C$9,B145&gt;Panel!$C$10),"Fuera del curso",IF(G145="","Faltan páginas",IF(H145="","Sin valorar","OK"))))))))</f>
        <v/>
      </c>
    </row>
    <row r="146" ht="20" customHeight="1">
      <c r="B146" s="10" t="n"/>
      <c r="C146" s="12" t="n"/>
      <c r="D146" s="12" t="n"/>
      <c r="E146" s="12" t="n"/>
      <c r="F146" s="12" t="n"/>
      <c r="G146" s="31" t="n"/>
      <c r="H146" s="13" t="n"/>
      <c r="I146" s="12" t="n"/>
      <c r="J146" s="23">
        <f>IF(C146="","",IFERROR(VLOOKUP(C146,Alumnado!$B$7:$C$46,2,FALSE),"?"))</f>
        <v/>
      </c>
      <c r="K146" s="23">
        <f>IF(OR(C146="",H146=""),"",REPT("★",H146)&amp;REPT("☆",5-H146))</f>
        <v/>
      </c>
      <c r="L146" s="23">
        <f>IF(AND(B146="",C146="",D146=""),"",IF(C146="","Falta alumno/a",IF(ISNA(MATCH(C146,Alumnado!$B$7:$B$46,0)),"Alumno/a no está en la lista",IF(D146="","Falta título",IF(B146="","Falta fecha",IF(OR(B146&lt;Panel!$C$9,B146&gt;Panel!$C$10),"Fuera del curso",IF(G146="","Faltan páginas",IF(H146="","Sin valorar","OK"))))))))</f>
        <v/>
      </c>
    </row>
    <row r="147" ht="20" customHeight="1">
      <c r="B147" s="10" t="n"/>
      <c r="C147" s="12" t="n"/>
      <c r="D147" s="12" t="n"/>
      <c r="E147" s="12" t="n"/>
      <c r="F147" s="12" t="n"/>
      <c r="G147" s="31" t="n"/>
      <c r="H147" s="13" t="n"/>
      <c r="I147" s="12" t="n"/>
      <c r="J147" s="23">
        <f>IF(C147="","",IFERROR(VLOOKUP(C147,Alumnado!$B$7:$C$46,2,FALSE),"?"))</f>
        <v/>
      </c>
      <c r="K147" s="23">
        <f>IF(OR(C147="",H147=""),"",REPT("★",H147)&amp;REPT("☆",5-H147))</f>
        <v/>
      </c>
      <c r="L147" s="23">
        <f>IF(AND(B147="",C147="",D147=""),"",IF(C147="","Falta alumno/a",IF(ISNA(MATCH(C147,Alumnado!$B$7:$B$46,0)),"Alumno/a no está en la lista",IF(D147="","Falta título",IF(B147="","Falta fecha",IF(OR(B147&lt;Panel!$C$9,B147&gt;Panel!$C$10),"Fuera del curso",IF(G147="","Faltan páginas",IF(H147="","Sin valorar","OK"))))))))</f>
        <v/>
      </c>
    </row>
    <row r="148" ht="20" customHeight="1">
      <c r="B148" s="10" t="n"/>
      <c r="C148" s="12" t="n"/>
      <c r="D148" s="12" t="n"/>
      <c r="E148" s="12" t="n"/>
      <c r="F148" s="12" t="n"/>
      <c r="G148" s="31" t="n"/>
      <c r="H148" s="13" t="n"/>
      <c r="I148" s="12" t="n"/>
      <c r="J148" s="23">
        <f>IF(C148="","",IFERROR(VLOOKUP(C148,Alumnado!$B$7:$C$46,2,FALSE),"?"))</f>
        <v/>
      </c>
      <c r="K148" s="23">
        <f>IF(OR(C148="",H148=""),"",REPT("★",H148)&amp;REPT("☆",5-H148))</f>
        <v/>
      </c>
      <c r="L148" s="23">
        <f>IF(AND(B148="",C148="",D148=""),"",IF(C148="","Falta alumno/a",IF(ISNA(MATCH(C148,Alumnado!$B$7:$B$46,0)),"Alumno/a no está en la lista",IF(D148="","Falta título",IF(B148="","Falta fecha",IF(OR(B148&lt;Panel!$C$9,B148&gt;Panel!$C$10),"Fuera del curso",IF(G148="","Faltan páginas",IF(H148="","Sin valorar","OK"))))))))</f>
        <v/>
      </c>
    </row>
    <row r="149" ht="20" customHeight="1">
      <c r="B149" s="10" t="n"/>
      <c r="C149" s="12" t="n"/>
      <c r="D149" s="12" t="n"/>
      <c r="E149" s="12" t="n"/>
      <c r="F149" s="12" t="n"/>
      <c r="G149" s="31" t="n"/>
      <c r="H149" s="13" t="n"/>
      <c r="I149" s="12" t="n"/>
      <c r="J149" s="23">
        <f>IF(C149="","",IFERROR(VLOOKUP(C149,Alumnado!$B$7:$C$46,2,FALSE),"?"))</f>
        <v/>
      </c>
      <c r="K149" s="23">
        <f>IF(OR(C149="",H149=""),"",REPT("★",H149)&amp;REPT("☆",5-H149))</f>
        <v/>
      </c>
      <c r="L149" s="23">
        <f>IF(AND(B149="",C149="",D149=""),"",IF(C149="","Falta alumno/a",IF(ISNA(MATCH(C149,Alumnado!$B$7:$B$46,0)),"Alumno/a no está en la lista",IF(D149="","Falta título",IF(B149="","Falta fecha",IF(OR(B149&lt;Panel!$C$9,B149&gt;Panel!$C$10),"Fuera del curso",IF(G149="","Faltan páginas",IF(H149="","Sin valorar","OK"))))))))</f>
        <v/>
      </c>
    </row>
    <row r="150" ht="20" customHeight="1">
      <c r="B150" s="10" t="n"/>
      <c r="C150" s="12" t="n"/>
      <c r="D150" s="12" t="n"/>
      <c r="E150" s="12" t="n"/>
      <c r="F150" s="12" t="n"/>
      <c r="G150" s="31" t="n"/>
      <c r="H150" s="13" t="n"/>
      <c r="I150" s="12" t="n"/>
      <c r="J150" s="23">
        <f>IF(C150="","",IFERROR(VLOOKUP(C150,Alumnado!$B$7:$C$46,2,FALSE),"?"))</f>
        <v/>
      </c>
      <c r="K150" s="23">
        <f>IF(OR(C150="",H150=""),"",REPT("★",H150)&amp;REPT("☆",5-H150))</f>
        <v/>
      </c>
      <c r="L150" s="23">
        <f>IF(AND(B150="",C150="",D150=""),"",IF(C150="","Falta alumno/a",IF(ISNA(MATCH(C150,Alumnado!$B$7:$B$46,0)),"Alumno/a no está en la lista",IF(D150="","Falta título",IF(B150="","Falta fecha",IF(OR(B150&lt;Panel!$C$9,B150&gt;Panel!$C$10),"Fuera del curso",IF(G150="","Faltan páginas",IF(H150="","Sin valorar","OK"))))))))</f>
        <v/>
      </c>
    </row>
    <row r="151" ht="20" customHeight="1">
      <c r="B151" s="10" t="n"/>
      <c r="C151" s="12" t="n"/>
      <c r="D151" s="12" t="n"/>
      <c r="E151" s="12" t="n"/>
      <c r="F151" s="12" t="n"/>
      <c r="G151" s="31" t="n"/>
      <c r="H151" s="13" t="n"/>
      <c r="I151" s="12" t="n"/>
      <c r="J151" s="23">
        <f>IF(C151="","",IFERROR(VLOOKUP(C151,Alumnado!$B$7:$C$46,2,FALSE),"?"))</f>
        <v/>
      </c>
      <c r="K151" s="23">
        <f>IF(OR(C151="",H151=""),"",REPT("★",H151)&amp;REPT("☆",5-H151))</f>
        <v/>
      </c>
      <c r="L151" s="23">
        <f>IF(AND(B151="",C151="",D151=""),"",IF(C151="","Falta alumno/a",IF(ISNA(MATCH(C151,Alumnado!$B$7:$B$46,0)),"Alumno/a no está en la lista",IF(D151="","Falta título",IF(B151="","Falta fecha",IF(OR(B151&lt;Panel!$C$9,B151&gt;Panel!$C$10),"Fuera del curso",IF(G151="","Faltan páginas",IF(H151="","Sin valorar","OK"))))))))</f>
        <v/>
      </c>
    </row>
    <row r="152" ht="20" customHeight="1">
      <c r="B152" s="10" t="n"/>
      <c r="C152" s="12" t="n"/>
      <c r="D152" s="12" t="n"/>
      <c r="E152" s="12" t="n"/>
      <c r="F152" s="12" t="n"/>
      <c r="G152" s="31" t="n"/>
      <c r="H152" s="13" t="n"/>
      <c r="I152" s="12" t="n"/>
      <c r="J152" s="23">
        <f>IF(C152="","",IFERROR(VLOOKUP(C152,Alumnado!$B$7:$C$46,2,FALSE),"?"))</f>
        <v/>
      </c>
      <c r="K152" s="23">
        <f>IF(OR(C152="",H152=""),"",REPT("★",H152)&amp;REPT("☆",5-H152))</f>
        <v/>
      </c>
      <c r="L152" s="23">
        <f>IF(AND(B152="",C152="",D152=""),"",IF(C152="","Falta alumno/a",IF(ISNA(MATCH(C152,Alumnado!$B$7:$B$46,0)),"Alumno/a no está en la lista",IF(D152="","Falta título",IF(B152="","Falta fecha",IF(OR(B152&lt;Panel!$C$9,B152&gt;Panel!$C$10),"Fuera del curso",IF(G152="","Faltan páginas",IF(H152="","Sin valorar","OK"))))))))</f>
        <v/>
      </c>
    </row>
    <row r="153" ht="20" customHeight="1">
      <c r="B153" s="10" t="n"/>
      <c r="C153" s="12" t="n"/>
      <c r="D153" s="12" t="n"/>
      <c r="E153" s="12" t="n"/>
      <c r="F153" s="12" t="n"/>
      <c r="G153" s="31" t="n"/>
      <c r="H153" s="13" t="n"/>
      <c r="I153" s="12" t="n"/>
      <c r="J153" s="23">
        <f>IF(C153="","",IFERROR(VLOOKUP(C153,Alumnado!$B$7:$C$46,2,FALSE),"?"))</f>
        <v/>
      </c>
      <c r="K153" s="23">
        <f>IF(OR(C153="",H153=""),"",REPT("★",H153)&amp;REPT("☆",5-H153))</f>
        <v/>
      </c>
      <c r="L153" s="23">
        <f>IF(AND(B153="",C153="",D153=""),"",IF(C153="","Falta alumno/a",IF(ISNA(MATCH(C153,Alumnado!$B$7:$B$46,0)),"Alumno/a no está en la lista",IF(D153="","Falta título",IF(B153="","Falta fecha",IF(OR(B153&lt;Panel!$C$9,B153&gt;Panel!$C$10),"Fuera del curso",IF(G153="","Faltan páginas",IF(H153="","Sin valorar","OK"))))))))</f>
        <v/>
      </c>
    </row>
    <row r="154" ht="20" customHeight="1">
      <c r="B154" s="10" t="n"/>
      <c r="C154" s="12" t="n"/>
      <c r="D154" s="12" t="n"/>
      <c r="E154" s="12" t="n"/>
      <c r="F154" s="12" t="n"/>
      <c r="G154" s="31" t="n"/>
      <c r="H154" s="13" t="n"/>
      <c r="I154" s="12" t="n"/>
      <c r="J154" s="23">
        <f>IF(C154="","",IFERROR(VLOOKUP(C154,Alumnado!$B$7:$C$46,2,FALSE),"?"))</f>
        <v/>
      </c>
      <c r="K154" s="23">
        <f>IF(OR(C154="",H154=""),"",REPT("★",H154)&amp;REPT("☆",5-H154))</f>
        <v/>
      </c>
      <c r="L154" s="23">
        <f>IF(AND(B154="",C154="",D154=""),"",IF(C154="","Falta alumno/a",IF(ISNA(MATCH(C154,Alumnado!$B$7:$B$46,0)),"Alumno/a no está en la lista",IF(D154="","Falta título",IF(B154="","Falta fecha",IF(OR(B154&lt;Panel!$C$9,B154&gt;Panel!$C$10),"Fuera del curso",IF(G154="","Faltan páginas",IF(H154="","Sin valorar","OK"))))))))</f>
        <v/>
      </c>
    </row>
    <row r="155" ht="20" customHeight="1">
      <c r="B155" s="10" t="n"/>
      <c r="C155" s="12" t="n"/>
      <c r="D155" s="12" t="n"/>
      <c r="E155" s="12" t="n"/>
      <c r="F155" s="12" t="n"/>
      <c r="G155" s="31" t="n"/>
      <c r="H155" s="13" t="n"/>
      <c r="I155" s="12" t="n"/>
      <c r="J155" s="23">
        <f>IF(C155="","",IFERROR(VLOOKUP(C155,Alumnado!$B$7:$C$46,2,FALSE),"?"))</f>
        <v/>
      </c>
      <c r="K155" s="23">
        <f>IF(OR(C155="",H155=""),"",REPT("★",H155)&amp;REPT("☆",5-H155))</f>
        <v/>
      </c>
      <c r="L155" s="23">
        <f>IF(AND(B155="",C155="",D155=""),"",IF(C155="","Falta alumno/a",IF(ISNA(MATCH(C155,Alumnado!$B$7:$B$46,0)),"Alumno/a no está en la lista",IF(D155="","Falta título",IF(B155="","Falta fecha",IF(OR(B155&lt;Panel!$C$9,B155&gt;Panel!$C$10),"Fuera del curso",IF(G155="","Faltan páginas",IF(H155="","Sin valorar","OK"))))))))</f>
        <v/>
      </c>
    </row>
    <row r="156" ht="20" customHeight="1">
      <c r="B156" s="10" t="n"/>
      <c r="C156" s="12" t="n"/>
      <c r="D156" s="12" t="n"/>
      <c r="E156" s="12" t="n"/>
      <c r="F156" s="12" t="n"/>
      <c r="G156" s="31" t="n"/>
      <c r="H156" s="13" t="n"/>
      <c r="I156" s="12" t="n"/>
      <c r="J156" s="23">
        <f>IF(C156="","",IFERROR(VLOOKUP(C156,Alumnado!$B$7:$C$46,2,FALSE),"?"))</f>
        <v/>
      </c>
      <c r="K156" s="23">
        <f>IF(OR(C156="",H156=""),"",REPT("★",H156)&amp;REPT("☆",5-H156))</f>
        <v/>
      </c>
      <c r="L156" s="23">
        <f>IF(AND(B156="",C156="",D156=""),"",IF(C156="","Falta alumno/a",IF(ISNA(MATCH(C156,Alumnado!$B$7:$B$46,0)),"Alumno/a no está en la lista",IF(D156="","Falta título",IF(B156="","Falta fecha",IF(OR(B156&lt;Panel!$C$9,B156&gt;Panel!$C$10),"Fuera del curso",IF(G156="","Faltan páginas",IF(H156="","Sin valorar","OK"))))))))</f>
        <v/>
      </c>
    </row>
    <row r="157" ht="20" customHeight="1">
      <c r="B157" s="10" t="n"/>
      <c r="C157" s="12" t="n"/>
      <c r="D157" s="12" t="n"/>
      <c r="E157" s="12" t="n"/>
      <c r="F157" s="12" t="n"/>
      <c r="G157" s="31" t="n"/>
      <c r="H157" s="13" t="n"/>
      <c r="I157" s="12" t="n"/>
      <c r="J157" s="23">
        <f>IF(C157="","",IFERROR(VLOOKUP(C157,Alumnado!$B$7:$C$46,2,FALSE),"?"))</f>
        <v/>
      </c>
      <c r="K157" s="23">
        <f>IF(OR(C157="",H157=""),"",REPT("★",H157)&amp;REPT("☆",5-H157))</f>
        <v/>
      </c>
      <c r="L157" s="23">
        <f>IF(AND(B157="",C157="",D157=""),"",IF(C157="","Falta alumno/a",IF(ISNA(MATCH(C157,Alumnado!$B$7:$B$46,0)),"Alumno/a no está en la lista",IF(D157="","Falta título",IF(B157="","Falta fecha",IF(OR(B157&lt;Panel!$C$9,B157&gt;Panel!$C$10),"Fuera del curso",IF(G157="","Faltan páginas",IF(H157="","Sin valorar","OK"))))))))</f>
        <v/>
      </c>
    </row>
    <row r="158" ht="20" customHeight="1">
      <c r="B158" s="10" t="n"/>
      <c r="C158" s="12" t="n"/>
      <c r="D158" s="12" t="n"/>
      <c r="E158" s="12" t="n"/>
      <c r="F158" s="12" t="n"/>
      <c r="G158" s="31" t="n"/>
      <c r="H158" s="13" t="n"/>
      <c r="I158" s="12" t="n"/>
      <c r="J158" s="23">
        <f>IF(C158="","",IFERROR(VLOOKUP(C158,Alumnado!$B$7:$C$46,2,FALSE),"?"))</f>
        <v/>
      </c>
      <c r="K158" s="23">
        <f>IF(OR(C158="",H158=""),"",REPT("★",H158)&amp;REPT("☆",5-H158))</f>
        <v/>
      </c>
      <c r="L158" s="23">
        <f>IF(AND(B158="",C158="",D158=""),"",IF(C158="","Falta alumno/a",IF(ISNA(MATCH(C158,Alumnado!$B$7:$B$46,0)),"Alumno/a no está en la lista",IF(D158="","Falta título",IF(B158="","Falta fecha",IF(OR(B158&lt;Panel!$C$9,B158&gt;Panel!$C$10),"Fuera del curso",IF(G158="","Faltan páginas",IF(H158="","Sin valorar","OK"))))))))</f>
        <v/>
      </c>
    </row>
    <row r="159" ht="20" customHeight="1">
      <c r="B159" s="10" t="n"/>
      <c r="C159" s="12" t="n"/>
      <c r="D159" s="12" t="n"/>
      <c r="E159" s="12" t="n"/>
      <c r="F159" s="12" t="n"/>
      <c r="G159" s="31" t="n"/>
      <c r="H159" s="13" t="n"/>
      <c r="I159" s="12" t="n"/>
      <c r="J159" s="23">
        <f>IF(C159="","",IFERROR(VLOOKUP(C159,Alumnado!$B$7:$C$46,2,FALSE),"?"))</f>
        <v/>
      </c>
      <c r="K159" s="23">
        <f>IF(OR(C159="",H159=""),"",REPT("★",H159)&amp;REPT("☆",5-H159))</f>
        <v/>
      </c>
      <c r="L159" s="23">
        <f>IF(AND(B159="",C159="",D159=""),"",IF(C159="","Falta alumno/a",IF(ISNA(MATCH(C159,Alumnado!$B$7:$B$46,0)),"Alumno/a no está en la lista",IF(D159="","Falta título",IF(B159="","Falta fecha",IF(OR(B159&lt;Panel!$C$9,B159&gt;Panel!$C$10),"Fuera del curso",IF(G159="","Faltan páginas",IF(H159="","Sin valorar","OK"))))))))</f>
        <v/>
      </c>
    </row>
    <row r="160" ht="20" customHeight="1">
      <c r="B160" s="10" t="n"/>
      <c r="C160" s="12" t="n"/>
      <c r="D160" s="12" t="n"/>
      <c r="E160" s="12" t="n"/>
      <c r="F160" s="12" t="n"/>
      <c r="G160" s="31" t="n"/>
      <c r="H160" s="13" t="n"/>
      <c r="I160" s="12" t="n"/>
      <c r="J160" s="23">
        <f>IF(C160="","",IFERROR(VLOOKUP(C160,Alumnado!$B$7:$C$46,2,FALSE),"?"))</f>
        <v/>
      </c>
      <c r="K160" s="23">
        <f>IF(OR(C160="",H160=""),"",REPT("★",H160)&amp;REPT("☆",5-H160))</f>
        <v/>
      </c>
      <c r="L160" s="23">
        <f>IF(AND(B160="",C160="",D160=""),"",IF(C160="","Falta alumno/a",IF(ISNA(MATCH(C160,Alumnado!$B$7:$B$46,0)),"Alumno/a no está en la lista",IF(D160="","Falta título",IF(B160="","Falta fecha",IF(OR(B160&lt;Panel!$C$9,B160&gt;Panel!$C$10),"Fuera del curso",IF(G160="","Faltan páginas",IF(H160="","Sin valorar","OK"))))))))</f>
        <v/>
      </c>
    </row>
    <row r="161" ht="20" customHeight="1">
      <c r="B161" s="10" t="n"/>
      <c r="C161" s="12" t="n"/>
      <c r="D161" s="12" t="n"/>
      <c r="E161" s="12" t="n"/>
      <c r="F161" s="12" t="n"/>
      <c r="G161" s="31" t="n"/>
      <c r="H161" s="13" t="n"/>
      <c r="I161" s="12" t="n"/>
      <c r="J161" s="23">
        <f>IF(C161="","",IFERROR(VLOOKUP(C161,Alumnado!$B$7:$C$46,2,FALSE),"?"))</f>
        <v/>
      </c>
      <c r="K161" s="23">
        <f>IF(OR(C161="",H161=""),"",REPT("★",H161)&amp;REPT("☆",5-H161))</f>
        <v/>
      </c>
      <c r="L161" s="23">
        <f>IF(AND(B161="",C161="",D161=""),"",IF(C161="","Falta alumno/a",IF(ISNA(MATCH(C161,Alumnado!$B$7:$B$46,0)),"Alumno/a no está en la lista",IF(D161="","Falta título",IF(B161="","Falta fecha",IF(OR(B161&lt;Panel!$C$9,B161&gt;Panel!$C$10),"Fuera del curso",IF(G161="","Faltan páginas",IF(H161="","Sin valorar","OK"))))))))</f>
        <v/>
      </c>
    </row>
    <row r="162" ht="20" customHeight="1">
      <c r="B162" s="10" t="n"/>
      <c r="C162" s="12" t="n"/>
      <c r="D162" s="12" t="n"/>
      <c r="E162" s="12" t="n"/>
      <c r="F162" s="12" t="n"/>
      <c r="G162" s="31" t="n"/>
      <c r="H162" s="13" t="n"/>
      <c r="I162" s="12" t="n"/>
      <c r="J162" s="23">
        <f>IF(C162="","",IFERROR(VLOOKUP(C162,Alumnado!$B$7:$C$46,2,FALSE),"?"))</f>
        <v/>
      </c>
      <c r="K162" s="23">
        <f>IF(OR(C162="",H162=""),"",REPT("★",H162)&amp;REPT("☆",5-H162))</f>
        <v/>
      </c>
      <c r="L162" s="23">
        <f>IF(AND(B162="",C162="",D162=""),"",IF(C162="","Falta alumno/a",IF(ISNA(MATCH(C162,Alumnado!$B$7:$B$46,0)),"Alumno/a no está en la lista",IF(D162="","Falta título",IF(B162="","Falta fecha",IF(OR(B162&lt;Panel!$C$9,B162&gt;Panel!$C$10),"Fuera del curso",IF(G162="","Faltan páginas",IF(H162="","Sin valorar","OK"))))))))</f>
        <v/>
      </c>
    </row>
    <row r="163" ht="20" customHeight="1">
      <c r="B163" s="10" t="n"/>
      <c r="C163" s="12" t="n"/>
      <c r="D163" s="12" t="n"/>
      <c r="E163" s="12" t="n"/>
      <c r="F163" s="12" t="n"/>
      <c r="G163" s="31" t="n"/>
      <c r="H163" s="13" t="n"/>
      <c r="I163" s="12" t="n"/>
      <c r="J163" s="23">
        <f>IF(C163="","",IFERROR(VLOOKUP(C163,Alumnado!$B$7:$C$46,2,FALSE),"?"))</f>
        <v/>
      </c>
      <c r="K163" s="23">
        <f>IF(OR(C163="",H163=""),"",REPT("★",H163)&amp;REPT("☆",5-H163))</f>
        <v/>
      </c>
      <c r="L163" s="23">
        <f>IF(AND(B163="",C163="",D163=""),"",IF(C163="","Falta alumno/a",IF(ISNA(MATCH(C163,Alumnado!$B$7:$B$46,0)),"Alumno/a no está en la lista",IF(D163="","Falta título",IF(B163="","Falta fecha",IF(OR(B163&lt;Panel!$C$9,B163&gt;Panel!$C$10),"Fuera del curso",IF(G163="","Faltan páginas",IF(H163="","Sin valorar","OK"))))))))</f>
        <v/>
      </c>
    </row>
    <row r="164" ht="20" customHeight="1">
      <c r="B164" s="10" t="n"/>
      <c r="C164" s="12" t="n"/>
      <c r="D164" s="12" t="n"/>
      <c r="E164" s="12" t="n"/>
      <c r="F164" s="12" t="n"/>
      <c r="G164" s="31" t="n"/>
      <c r="H164" s="13" t="n"/>
      <c r="I164" s="12" t="n"/>
      <c r="J164" s="23">
        <f>IF(C164="","",IFERROR(VLOOKUP(C164,Alumnado!$B$7:$C$46,2,FALSE),"?"))</f>
        <v/>
      </c>
      <c r="K164" s="23">
        <f>IF(OR(C164="",H164=""),"",REPT("★",H164)&amp;REPT("☆",5-H164))</f>
        <v/>
      </c>
      <c r="L164" s="23">
        <f>IF(AND(B164="",C164="",D164=""),"",IF(C164="","Falta alumno/a",IF(ISNA(MATCH(C164,Alumnado!$B$7:$B$46,0)),"Alumno/a no está en la lista",IF(D164="","Falta título",IF(B164="","Falta fecha",IF(OR(B164&lt;Panel!$C$9,B164&gt;Panel!$C$10),"Fuera del curso",IF(G164="","Faltan páginas",IF(H164="","Sin valorar","OK"))))))))</f>
        <v/>
      </c>
    </row>
    <row r="165" ht="20" customHeight="1">
      <c r="B165" s="10" t="n"/>
      <c r="C165" s="12" t="n"/>
      <c r="D165" s="12" t="n"/>
      <c r="E165" s="12" t="n"/>
      <c r="F165" s="12" t="n"/>
      <c r="G165" s="31" t="n"/>
      <c r="H165" s="13" t="n"/>
      <c r="I165" s="12" t="n"/>
      <c r="J165" s="23">
        <f>IF(C165="","",IFERROR(VLOOKUP(C165,Alumnado!$B$7:$C$46,2,FALSE),"?"))</f>
        <v/>
      </c>
      <c r="K165" s="23">
        <f>IF(OR(C165="",H165=""),"",REPT("★",H165)&amp;REPT("☆",5-H165))</f>
        <v/>
      </c>
      <c r="L165" s="23">
        <f>IF(AND(B165="",C165="",D165=""),"",IF(C165="","Falta alumno/a",IF(ISNA(MATCH(C165,Alumnado!$B$7:$B$46,0)),"Alumno/a no está en la lista",IF(D165="","Falta título",IF(B165="","Falta fecha",IF(OR(B165&lt;Panel!$C$9,B165&gt;Panel!$C$10),"Fuera del curso",IF(G165="","Faltan páginas",IF(H165="","Sin valorar","OK"))))))))</f>
        <v/>
      </c>
    </row>
    <row r="166" ht="20" customHeight="1">
      <c r="B166" s="10" t="n"/>
      <c r="C166" s="12" t="n"/>
      <c r="D166" s="12" t="n"/>
      <c r="E166" s="12" t="n"/>
      <c r="F166" s="12" t="n"/>
      <c r="G166" s="31" t="n"/>
      <c r="H166" s="13" t="n"/>
      <c r="I166" s="12" t="n"/>
      <c r="J166" s="23">
        <f>IF(C166="","",IFERROR(VLOOKUP(C166,Alumnado!$B$7:$C$46,2,FALSE),"?"))</f>
        <v/>
      </c>
      <c r="K166" s="23">
        <f>IF(OR(C166="",H166=""),"",REPT("★",H166)&amp;REPT("☆",5-H166))</f>
        <v/>
      </c>
      <c r="L166" s="23">
        <f>IF(AND(B166="",C166="",D166=""),"",IF(C166="","Falta alumno/a",IF(ISNA(MATCH(C166,Alumnado!$B$7:$B$46,0)),"Alumno/a no está en la lista",IF(D166="","Falta título",IF(B166="","Falta fecha",IF(OR(B166&lt;Panel!$C$9,B166&gt;Panel!$C$10),"Fuera del curso",IF(G166="","Faltan páginas",IF(H166="","Sin valorar","OK"))))))))</f>
        <v/>
      </c>
    </row>
    <row r="167" ht="20" customHeight="1">
      <c r="B167" s="10" t="n"/>
      <c r="C167" s="12" t="n"/>
      <c r="D167" s="12" t="n"/>
      <c r="E167" s="12" t="n"/>
      <c r="F167" s="12" t="n"/>
      <c r="G167" s="31" t="n"/>
      <c r="H167" s="13" t="n"/>
      <c r="I167" s="12" t="n"/>
      <c r="J167" s="23">
        <f>IF(C167="","",IFERROR(VLOOKUP(C167,Alumnado!$B$7:$C$46,2,FALSE),"?"))</f>
        <v/>
      </c>
      <c r="K167" s="23">
        <f>IF(OR(C167="",H167=""),"",REPT("★",H167)&amp;REPT("☆",5-H167))</f>
        <v/>
      </c>
      <c r="L167" s="23">
        <f>IF(AND(B167="",C167="",D167=""),"",IF(C167="","Falta alumno/a",IF(ISNA(MATCH(C167,Alumnado!$B$7:$B$46,0)),"Alumno/a no está en la lista",IF(D167="","Falta título",IF(B167="","Falta fecha",IF(OR(B167&lt;Panel!$C$9,B167&gt;Panel!$C$10),"Fuera del curso",IF(G167="","Faltan páginas",IF(H167="","Sin valorar","OK"))))))))</f>
        <v/>
      </c>
    </row>
    <row r="168" ht="20" customHeight="1">
      <c r="B168" s="10" t="n"/>
      <c r="C168" s="12" t="n"/>
      <c r="D168" s="12" t="n"/>
      <c r="E168" s="12" t="n"/>
      <c r="F168" s="12" t="n"/>
      <c r="G168" s="31" t="n"/>
      <c r="H168" s="13" t="n"/>
      <c r="I168" s="12" t="n"/>
      <c r="J168" s="23">
        <f>IF(C168="","",IFERROR(VLOOKUP(C168,Alumnado!$B$7:$C$46,2,FALSE),"?"))</f>
        <v/>
      </c>
      <c r="K168" s="23">
        <f>IF(OR(C168="",H168=""),"",REPT("★",H168)&amp;REPT("☆",5-H168))</f>
        <v/>
      </c>
      <c r="L168" s="23">
        <f>IF(AND(B168="",C168="",D168=""),"",IF(C168="","Falta alumno/a",IF(ISNA(MATCH(C168,Alumnado!$B$7:$B$46,0)),"Alumno/a no está en la lista",IF(D168="","Falta título",IF(B168="","Falta fecha",IF(OR(B168&lt;Panel!$C$9,B168&gt;Panel!$C$10),"Fuera del curso",IF(G168="","Faltan páginas",IF(H168="","Sin valorar","OK"))))))))</f>
        <v/>
      </c>
    </row>
    <row r="169" ht="20" customHeight="1">
      <c r="B169" s="10" t="n"/>
      <c r="C169" s="12" t="n"/>
      <c r="D169" s="12" t="n"/>
      <c r="E169" s="12" t="n"/>
      <c r="F169" s="12" t="n"/>
      <c r="G169" s="31" t="n"/>
      <c r="H169" s="13" t="n"/>
      <c r="I169" s="12" t="n"/>
      <c r="J169" s="23">
        <f>IF(C169="","",IFERROR(VLOOKUP(C169,Alumnado!$B$7:$C$46,2,FALSE),"?"))</f>
        <v/>
      </c>
      <c r="K169" s="23">
        <f>IF(OR(C169="",H169=""),"",REPT("★",H169)&amp;REPT("☆",5-H169))</f>
        <v/>
      </c>
      <c r="L169" s="23">
        <f>IF(AND(B169="",C169="",D169=""),"",IF(C169="","Falta alumno/a",IF(ISNA(MATCH(C169,Alumnado!$B$7:$B$46,0)),"Alumno/a no está en la lista",IF(D169="","Falta título",IF(B169="","Falta fecha",IF(OR(B169&lt;Panel!$C$9,B169&gt;Panel!$C$10),"Fuera del curso",IF(G169="","Faltan páginas",IF(H169="","Sin valorar","OK"))))))))</f>
        <v/>
      </c>
    </row>
    <row r="170" ht="20" customHeight="1">
      <c r="B170" s="10" t="n"/>
      <c r="C170" s="12" t="n"/>
      <c r="D170" s="12" t="n"/>
      <c r="E170" s="12" t="n"/>
      <c r="F170" s="12" t="n"/>
      <c r="G170" s="31" t="n"/>
      <c r="H170" s="13" t="n"/>
      <c r="I170" s="12" t="n"/>
      <c r="J170" s="23">
        <f>IF(C170="","",IFERROR(VLOOKUP(C170,Alumnado!$B$7:$C$46,2,FALSE),"?"))</f>
        <v/>
      </c>
      <c r="K170" s="23">
        <f>IF(OR(C170="",H170=""),"",REPT("★",H170)&amp;REPT("☆",5-H170))</f>
        <v/>
      </c>
      <c r="L170" s="23">
        <f>IF(AND(B170="",C170="",D170=""),"",IF(C170="","Falta alumno/a",IF(ISNA(MATCH(C170,Alumnado!$B$7:$B$46,0)),"Alumno/a no está en la lista",IF(D170="","Falta título",IF(B170="","Falta fecha",IF(OR(B170&lt;Panel!$C$9,B170&gt;Panel!$C$10),"Fuera del curso",IF(G170="","Faltan páginas",IF(H170="","Sin valorar","OK"))))))))</f>
        <v/>
      </c>
    </row>
    <row r="171" ht="20" customHeight="1">
      <c r="B171" s="10" t="n"/>
      <c r="C171" s="12" t="n"/>
      <c r="D171" s="12" t="n"/>
      <c r="E171" s="12" t="n"/>
      <c r="F171" s="12" t="n"/>
      <c r="G171" s="31" t="n"/>
      <c r="H171" s="13" t="n"/>
      <c r="I171" s="12" t="n"/>
      <c r="J171" s="23">
        <f>IF(C171="","",IFERROR(VLOOKUP(C171,Alumnado!$B$7:$C$46,2,FALSE),"?"))</f>
        <v/>
      </c>
      <c r="K171" s="23">
        <f>IF(OR(C171="",H171=""),"",REPT("★",H171)&amp;REPT("☆",5-H171))</f>
        <v/>
      </c>
      <c r="L171" s="23">
        <f>IF(AND(B171="",C171="",D171=""),"",IF(C171="","Falta alumno/a",IF(ISNA(MATCH(C171,Alumnado!$B$7:$B$46,0)),"Alumno/a no está en la lista",IF(D171="","Falta título",IF(B171="","Falta fecha",IF(OR(B171&lt;Panel!$C$9,B171&gt;Panel!$C$10),"Fuera del curso",IF(G171="","Faltan páginas",IF(H171="","Sin valorar","OK"))))))))</f>
        <v/>
      </c>
    </row>
    <row r="172" ht="20" customHeight="1">
      <c r="B172" s="10" t="n"/>
      <c r="C172" s="12" t="n"/>
      <c r="D172" s="12" t="n"/>
      <c r="E172" s="12" t="n"/>
      <c r="F172" s="12" t="n"/>
      <c r="G172" s="31" t="n"/>
      <c r="H172" s="13" t="n"/>
      <c r="I172" s="12" t="n"/>
      <c r="J172" s="23">
        <f>IF(C172="","",IFERROR(VLOOKUP(C172,Alumnado!$B$7:$C$46,2,FALSE),"?"))</f>
        <v/>
      </c>
      <c r="K172" s="23">
        <f>IF(OR(C172="",H172=""),"",REPT("★",H172)&amp;REPT("☆",5-H172))</f>
        <v/>
      </c>
      <c r="L172" s="23">
        <f>IF(AND(B172="",C172="",D172=""),"",IF(C172="","Falta alumno/a",IF(ISNA(MATCH(C172,Alumnado!$B$7:$B$46,0)),"Alumno/a no está en la lista",IF(D172="","Falta título",IF(B172="","Falta fecha",IF(OR(B172&lt;Panel!$C$9,B172&gt;Panel!$C$10),"Fuera del curso",IF(G172="","Faltan páginas",IF(H172="","Sin valorar","OK"))))))))</f>
        <v/>
      </c>
    </row>
    <row r="173" ht="20" customHeight="1">
      <c r="B173" s="10" t="n"/>
      <c r="C173" s="12" t="n"/>
      <c r="D173" s="12" t="n"/>
      <c r="E173" s="12" t="n"/>
      <c r="F173" s="12" t="n"/>
      <c r="G173" s="31" t="n"/>
      <c r="H173" s="13" t="n"/>
      <c r="I173" s="12" t="n"/>
      <c r="J173" s="23">
        <f>IF(C173="","",IFERROR(VLOOKUP(C173,Alumnado!$B$7:$C$46,2,FALSE),"?"))</f>
        <v/>
      </c>
      <c r="K173" s="23">
        <f>IF(OR(C173="",H173=""),"",REPT("★",H173)&amp;REPT("☆",5-H173))</f>
        <v/>
      </c>
      <c r="L173" s="23">
        <f>IF(AND(B173="",C173="",D173=""),"",IF(C173="","Falta alumno/a",IF(ISNA(MATCH(C173,Alumnado!$B$7:$B$46,0)),"Alumno/a no está en la lista",IF(D173="","Falta título",IF(B173="","Falta fecha",IF(OR(B173&lt;Panel!$C$9,B173&gt;Panel!$C$10),"Fuera del curso",IF(G173="","Faltan páginas",IF(H173="","Sin valorar","OK"))))))))</f>
        <v/>
      </c>
    </row>
    <row r="174" ht="20" customHeight="1">
      <c r="B174" s="10" t="n"/>
      <c r="C174" s="12" t="n"/>
      <c r="D174" s="12" t="n"/>
      <c r="E174" s="12" t="n"/>
      <c r="F174" s="12" t="n"/>
      <c r="G174" s="31" t="n"/>
      <c r="H174" s="13" t="n"/>
      <c r="I174" s="12" t="n"/>
      <c r="J174" s="23">
        <f>IF(C174="","",IFERROR(VLOOKUP(C174,Alumnado!$B$7:$C$46,2,FALSE),"?"))</f>
        <v/>
      </c>
      <c r="K174" s="23">
        <f>IF(OR(C174="",H174=""),"",REPT("★",H174)&amp;REPT("☆",5-H174))</f>
        <v/>
      </c>
      <c r="L174" s="23">
        <f>IF(AND(B174="",C174="",D174=""),"",IF(C174="","Falta alumno/a",IF(ISNA(MATCH(C174,Alumnado!$B$7:$B$46,0)),"Alumno/a no está en la lista",IF(D174="","Falta título",IF(B174="","Falta fecha",IF(OR(B174&lt;Panel!$C$9,B174&gt;Panel!$C$10),"Fuera del curso",IF(G174="","Faltan páginas",IF(H174="","Sin valorar","OK"))))))))</f>
        <v/>
      </c>
    </row>
    <row r="175" ht="20" customHeight="1">
      <c r="B175" s="10" t="n"/>
      <c r="C175" s="12" t="n"/>
      <c r="D175" s="12" t="n"/>
      <c r="E175" s="12" t="n"/>
      <c r="F175" s="12" t="n"/>
      <c r="G175" s="31" t="n"/>
      <c r="H175" s="13" t="n"/>
      <c r="I175" s="12" t="n"/>
      <c r="J175" s="23">
        <f>IF(C175="","",IFERROR(VLOOKUP(C175,Alumnado!$B$7:$C$46,2,FALSE),"?"))</f>
        <v/>
      </c>
      <c r="K175" s="23">
        <f>IF(OR(C175="",H175=""),"",REPT("★",H175)&amp;REPT("☆",5-H175))</f>
        <v/>
      </c>
      <c r="L175" s="23">
        <f>IF(AND(B175="",C175="",D175=""),"",IF(C175="","Falta alumno/a",IF(ISNA(MATCH(C175,Alumnado!$B$7:$B$46,0)),"Alumno/a no está en la lista",IF(D175="","Falta título",IF(B175="","Falta fecha",IF(OR(B175&lt;Panel!$C$9,B175&gt;Panel!$C$10),"Fuera del curso",IF(G175="","Faltan páginas",IF(H175="","Sin valorar","OK"))))))))</f>
        <v/>
      </c>
    </row>
    <row r="176" ht="20" customHeight="1">
      <c r="B176" s="10" t="n"/>
      <c r="C176" s="12" t="n"/>
      <c r="D176" s="12" t="n"/>
      <c r="E176" s="12" t="n"/>
      <c r="F176" s="12" t="n"/>
      <c r="G176" s="31" t="n"/>
      <c r="H176" s="13" t="n"/>
      <c r="I176" s="12" t="n"/>
      <c r="J176" s="23">
        <f>IF(C176="","",IFERROR(VLOOKUP(C176,Alumnado!$B$7:$C$46,2,FALSE),"?"))</f>
        <v/>
      </c>
      <c r="K176" s="23">
        <f>IF(OR(C176="",H176=""),"",REPT("★",H176)&amp;REPT("☆",5-H176))</f>
        <v/>
      </c>
      <c r="L176" s="23">
        <f>IF(AND(B176="",C176="",D176=""),"",IF(C176="","Falta alumno/a",IF(ISNA(MATCH(C176,Alumnado!$B$7:$B$46,0)),"Alumno/a no está en la lista",IF(D176="","Falta título",IF(B176="","Falta fecha",IF(OR(B176&lt;Panel!$C$9,B176&gt;Panel!$C$10),"Fuera del curso",IF(G176="","Faltan páginas",IF(H176="","Sin valorar","OK"))))))))</f>
        <v/>
      </c>
    </row>
    <row r="177" ht="20" customHeight="1">
      <c r="B177" s="10" t="n"/>
      <c r="C177" s="12" t="n"/>
      <c r="D177" s="12" t="n"/>
      <c r="E177" s="12" t="n"/>
      <c r="F177" s="12" t="n"/>
      <c r="G177" s="31" t="n"/>
      <c r="H177" s="13" t="n"/>
      <c r="I177" s="12" t="n"/>
      <c r="J177" s="23">
        <f>IF(C177="","",IFERROR(VLOOKUP(C177,Alumnado!$B$7:$C$46,2,FALSE),"?"))</f>
        <v/>
      </c>
      <c r="K177" s="23">
        <f>IF(OR(C177="",H177=""),"",REPT("★",H177)&amp;REPT("☆",5-H177))</f>
        <v/>
      </c>
      <c r="L177" s="23">
        <f>IF(AND(B177="",C177="",D177=""),"",IF(C177="","Falta alumno/a",IF(ISNA(MATCH(C177,Alumnado!$B$7:$B$46,0)),"Alumno/a no está en la lista",IF(D177="","Falta título",IF(B177="","Falta fecha",IF(OR(B177&lt;Panel!$C$9,B177&gt;Panel!$C$10),"Fuera del curso",IF(G177="","Faltan páginas",IF(H177="","Sin valorar","OK"))))))))</f>
        <v/>
      </c>
    </row>
    <row r="178" ht="20" customHeight="1">
      <c r="B178" s="10" t="n"/>
      <c r="C178" s="12" t="n"/>
      <c r="D178" s="12" t="n"/>
      <c r="E178" s="12" t="n"/>
      <c r="F178" s="12" t="n"/>
      <c r="G178" s="31" t="n"/>
      <c r="H178" s="13" t="n"/>
      <c r="I178" s="12" t="n"/>
      <c r="J178" s="23">
        <f>IF(C178="","",IFERROR(VLOOKUP(C178,Alumnado!$B$7:$C$46,2,FALSE),"?"))</f>
        <v/>
      </c>
      <c r="K178" s="23">
        <f>IF(OR(C178="",H178=""),"",REPT("★",H178)&amp;REPT("☆",5-H178))</f>
        <v/>
      </c>
      <c r="L178" s="23">
        <f>IF(AND(B178="",C178="",D178=""),"",IF(C178="","Falta alumno/a",IF(ISNA(MATCH(C178,Alumnado!$B$7:$B$46,0)),"Alumno/a no está en la lista",IF(D178="","Falta título",IF(B178="","Falta fecha",IF(OR(B178&lt;Panel!$C$9,B178&gt;Panel!$C$10),"Fuera del curso",IF(G178="","Faltan páginas",IF(H178="","Sin valorar","OK"))))))))</f>
        <v/>
      </c>
    </row>
    <row r="179" ht="20" customHeight="1">
      <c r="B179" s="10" t="n"/>
      <c r="C179" s="12" t="n"/>
      <c r="D179" s="12" t="n"/>
      <c r="E179" s="12" t="n"/>
      <c r="F179" s="12" t="n"/>
      <c r="G179" s="31" t="n"/>
      <c r="H179" s="13" t="n"/>
      <c r="I179" s="12" t="n"/>
      <c r="J179" s="23">
        <f>IF(C179="","",IFERROR(VLOOKUP(C179,Alumnado!$B$7:$C$46,2,FALSE),"?"))</f>
        <v/>
      </c>
      <c r="K179" s="23">
        <f>IF(OR(C179="",H179=""),"",REPT("★",H179)&amp;REPT("☆",5-H179))</f>
        <v/>
      </c>
      <c r="L179" s="23">
        <f>IF(AND(B179="",C179="",D179=""),"",IF(C179="","Falta alumno/a",IF(ISNA(MATCH(C179,Alumnado!$B$7:$B$46,0)),"Alumno/a no está en la lista",IF(D179="","Falta título",IF(B179="","Falta fecha",IF(OR(B179&lt;Panel!$C$9,B179&gt;Panel!$C$10),"Fuera del curso",IF(G179="","Faltan páginas",IF(H179="","Sin valorar","OK"))))))))</f>
        <v/>
      </c>
    </row>
    <row r="180" ht="20" customHeight="1">
      <c r="B180" s="10" t="n"/>
      <c r="C180" s="12" t="n"/>
      <c r="D180" s="12" t="n"/>
      <c r="E180" s="12" t="n"/>
      <c r="F180" s="12" t="n"/>
      <c r="G180" s="31" t="n"/>
      <c r="H180" s="13" t="n"/>
      <c r="I180" s="12" t="n"/>
      <c r="J180" s="23">
        <f>IF(C180="","",IFERROR(VLOOKUP(C180,Alumnado!$B$7:$C$46,2,FALSE),"?"))</f>
        <v/>
      </c>
      <c r="K180" s="23">
        <f>IF(OR(C180="",H180=""),"",REPT("★",H180)&amp;REPT("☆",5-H180))</f>
        <v/>
      </c>
      <c r="L180" s="23">
        <f>IF(AND(B180="",C180="",D180=""),"",IF(C180="","Falta alumno/a",IF(ISNA(MATCH(C180,Alumnado!$B$7:$B$46,0)),"Alumno/a no está en la lista",IF(D180="","Falta título",IF(B180="","Falta fecha",IF(OR(B180&lt;Panel!$C$9,B180&gt;Panel!$C$10),"Fuera del curso",IF(G180="","Faltan páginas",IF(H180="","Sin valorar","OK"))))))))</f>
        <v/>
      </c>
    </row>
    <row r="181" ht="20" customHeight="1">
      <c r="B181" s="10" t="n"/>
      <c r="C181" s="12" t="n"/>
      <c r="D181" s="12" t="n"/>
      <c r="E181" s="12" t="n"/>
      <c r="F181" s="12" t="n"/>
      <c r="G181" s="31" t="n"/>
      <c r="H181" s="13" t="n"/>
      <c r="I181" s="12" t="n"/>
      <c r="J181" s="23">
        <f>IF(C181="","",IFERROR(VLOOKUP(C181,Alumnado!$B$7:$C$46,2,FALSE),"?"))</f>
        <v/>
      </c>
      <c r="K181" s="23">
        <f>IF(OR(C181="",H181=""),"",REPT("★",H181)&amp;REPT("☆",5-H181))</f>
        <v/>
      </c>
      <c r="L181" s="23">
        <f>IF(AND(B181="",C181="",D181=""),"",IF(C181="","Falta alumno/a",IF(ISNA(MATCH(C181,Alumnado!$B$7:$B$46,0)),"Alumno/a no está en la lista",IF(D181="","Falta título",IF(B181="","Falta fecha",IF(OR(B181&lt;Panel!$C$9,B181&gt;Panel!$C$10),"Fuera del curso",IF(G181="","Faltan páginas",IF(H181="","Sin valorar","OK"))))))))</f>
        <v/>
      </c>
    </row>
    <row r="182" ht="20" customHeight="1">
      <c r="B182" s="10" t="n"/>
      <c r="C182" s="12" t="n"/>
      <c r="D182" s="12" t="n"/>
      <c r="E182" s="12" t="n"/>
      <c r="F182" s="12" t="n"/>
      <c r="G182" s="31" t="n"/>
      <c r="H182" s="13" t="n"/>
      <c r="I182" s="12" t="n"/>
      <c r="J182" s="23">
        <f>IF(C182="","",IFERROR(VLOOKUP(C182,Alumnado!$B$7:$C$46,2,FALSE),"?"))</f>
        <v/>
      </c>
      <c r="K182" s="23">
        <f>IF(OR(C182="",H182=""),"",REPT("★",H182)&amp;REPT("☆",5-H182))</f>
        <v/>
      </c>
      <c r="L182" s="23">
        <f>IF(AND(B182="",C182="",D182=""),"",IF(C182="","Falta alumno/a",IF(ISNA(MATCH(C182,Alumnado!$B$7:$B$46,0)),"Alumno/a no está en la lista",IF(D182="","Falta título",IF(B182="","Falta fecha",IF(OR(B182&lt;Panel!$C$9,B182&gt;Panel!$C$10),"Fuera del curso",IF(G182="","Faltan páginas",IF(H182="","Sin valorar","OK"))))))))</f>
        <v/>
      </c>
    </row>
    <row r="183" ht="20" customHeight="1">
      <c r="B183" s="10" t="n"/>
      <c r="C183" s="12" t="n"/>
      <c r="D183" s="12" t="n"/>
      <c r="E183" s="12" t="n"/>
      <c r="F183" s="12" t="n"/>
      <c r="G183" s="31" t="n"/>
      <c r="H183" s="13" t="n"/>
      <c r="I183" s="12" t="n"/>
      <c r="J183" s="23">
        <f>IF(C183="","",IFERROR(VLOOKUP(C183,Alumnado!$B$7:$C$46,2,FALSE),"?"))</f>
        <v/>
      </c>
      <c r="K183" s="23">
        <f>IF(OR(C183="",H183=""),"",REPT("★",H183)&amp;REPT("☆",5-H183))</f>
        <v/>
      </c>
      <c r="L183" s="23">
        <f>IF(AND(B183="",C183="",D183=""),"",IF(C183="","Falta alumno/a",IF(ISNA(MATCH(C183,Alumnado!$B$7:$B$46,0)),"Alumno/a no está en la lista",IF(D183="","Falta título",IF(B183="","Falta fecha",IF(OR(B183&lt;Panel!$C$9,B183&gt;Panel!$C$10),"Fuera del curso",IF(G183="","Faltan páginas",IF(H183="","Sin valorar","OK"))))))))</f>
        <v/>
      </c>
    </row>
    <row r="184" ht="20" customHeight="1">
      <c r="B184" s="10" t="n"/>
      <c r="C184" s="12" t="n"/>
      <c r="D184" s="12" t="n"/>
      <c r="E184" s="12" t="n"/>
      <c r="F184" s="12" t="n"/>
      <c r="G184" s="31" t="n"/>
      <c r="H184" s="13" t="n"/>
      <c r="I184" s="12" t="n"/>
      <c r="J184" s="23">
        <f>IF(C184="","",IFERROR(VLOOKUP(C184,Alumnado!$B$7:$C$46,2,FALSE),"?"))</f>
        <v/>
      </c>
      <c r="K184" s="23">
        <f>IF(OR(C184="",H184=""),"",REPT("★",H184)&amp;REPT("☆",5-H184))</f>
        <v/>
      </c>
      <c r="L184" s="23">
        <f>IF(AND(B184="",C184="",D184=""),"",IF(C184="","Falta alumno/a",IF(ISNA(MATCH(C184,Alumnado!$B$7:$B$46,0)),"Alumno/a no está en la lista",IF(D184="","Falta título",IF(B184="","Falta fecha",IF(OR(B184&lt;Panel!$C$9,B184&gt;Panel!$C$10),"Fuera del curso",IF(G184="","Faltan páginas",IF(H184="","Sin valorar","OK"))))))))</f>
        <v/>
      </c>
    </row>
    <row r="185" ht="20" customHeight="1">
      <c r="B185" s="10" t="n"/>
      <c r="C185" s="12" t="n"/>
      <c r="D185" s="12" t="n"/>
      <c r="E185" s="12" t="n"/>
      <c r="F185" s="12" t="n"/>
      <c r="G185" s="31" t="n"/>
      <c r="H185" s="13" t="n"/>
      <c r="I185" s="12" t="n"/>
      <c r="J185" s="23">
        <f>IF(C185="","",IFERROR(VLOOKUP(C185,Alumnado!$B$7:$C$46,2,FALSE),"?"))</f>
        <v/>
      </c>
      <c r="K185" s="23">
        <f>IF(OR(C185="",H185=""),"",REPT("★",H185)&amp;REPT("☆",5-H185))</f>
        <v/>
      </c>
      <c r="L185" s="23">
        <f>IF(AND(B185="",C185="",D185=""),"",IF(C185="","Falta alumno/a",IF(ISNA(MATCH(C185,Alumnado!$B$7:$B$46,0)),"Alumno/a no está en la lista",IF(D185="","Falta título",IF(B185="","Falta fecha",IF(OR(B185&lt;Panel!$C$9,B185&gt;Panel!$C$10),"Fuera del curso",IF(G185="","Faltan páginas",IF(H185="","Sin valorar","OK"))))))))</f>
        <v/>
      </c>
    </row>
    <row r="186" ht="20" customHeight="1">
      <c r="B186" s="10" t="n"/>
      <c r="C186" s="12" t="n"/>
      <c r="D186" s="12" t="n"/>
      <c r="E186" s="12" t="n"/>
      <c r="F186" s="12" t="n"/>
      <c r="G186" s="31" t="n"/>
      <c r="H186" s="13" t="n"/>
      <c r="I186" s="12" t="n"/>
      <c r="J186" s="23">
        <f>IF(C186="","",IFERROR(VLOOKUP(C186,Alumnado!$B$7:$C$46,2,FALSE),"?"))</f>
        <v/>
      </c>
      <c r="K186" s="23">
        <f>IF(OR(C186="",H186=""),"",REPT("★",H186)&amp;REPT("☆",5-H186))</f>
        <v/>
      </c>
      <c r="L186" s="23">
        <f>IF(AND(B186="",C186="",D186=""),"",IF(C186="","Falta alumno/a",IF(ISNA(MATCH(C186,Alumnado!$B$7:$B$46,0)),"Alumno/a no está en la lista",IF(D186="","Falta título",IF(B186="","Falta fecha",IF(OR(B186&lt;Panel!$C$9,B186&gt;Panel!$C$10),"Fuera del curso",IF(G186="","Faltan páginas",IF(H186="","Sin valorar","OK"))))))))</f>
        <v/>
      </c>
    </row>
    <row r="187" ht="20" customHeight="1">
      <c r="B187" s="10" t="n"/>
      <c r="C187" s="12" t="n"/>
      <c r="D187" s="12" t="n"/>
      <c r="E187" s="12" t="n"/>
      <c r="F187" s="12" t="n"/>
      <c r="G187" s="31" t="n"/>
      <c r="H187" s="13" t="n"/>
      <c r="I187" s="12" t="n"/>
      <c r="J187" s="23">
        <f>IF(C187="","",IFERROR(VLOOKUP(C187,Alumnado!$B$7:$C$46,2,FALSE),"?"))</f>
        <v/>
      </c>
      <c r="K187" s="23">
        <f>IF(OR(C187="",H187=""),"",REPT("★",H187)&amp;REPT("☆",5-H187))</f>
        <v/>
      </c>
      <c r="L187" s="23">
        <f>IF(AND(B187="",C187="",D187=""),"",IF(C187="","Falta alumno/a",IF(ISNA(MATCH(C187,Alumnado!$B$7:$B$46,0)),"Alumno/a no está en la lista",IF(D187="","Falta título",IF(B187="","Falta fecha",IF(OR(B187&lt;Panel!$C$9,B187&gt;Panel!$C$10),"Fuera del curso",IF(G187="","Faltan páginas",IF(H187="","Sin valorar","OK"))))))))</f>
        <v/>
      </c>
    </row>
    <row r="188" ht="20" customHeight="1">
      <c r="B188" s="10" t="n"/>
      <c r="C188" s="12" t="n"/>
      <c r="D188" s="12" t="n"/>
      <c r="E188" s="12" t="n"/>
      <c r="F188" s="12" t="n"/>
      <c r="G188" s="31" t="n"/>
      <c r="H188" s="13" t="n"/>
      <c r="I188" s="12" t="n"/>
      <c r="J188" s="23">
        <f>IF(C188="","",IFERROR(VLOOKUP(C188,Alumnado!$B$7:$C$46,2,FALSE),"?"))</f>
        <v/>
      </c>
      <c r="K188" s="23">
        <f>IF(OR(C188="",H188=""),"",REPT("★",H188)&amp;REPT("☆",5-H188))</f>
        <v/>
      </c>
      <c r="L188" s="23">
        <f>IF(AND(B188="",C188="",D188=""),"",IF(C188="","Falta alumno/a",IF(ISNA(MATCH(C188,Alumnado!$B$7:$B$46,0)),"Alumno/a no está en la lista",IF(D188="","Falta título",IF(B188="","Falta fecha",IF(OR(B188&lt;Panel!$C$9,B188&gt;Panel!$C$10),"Fuera del curso",IF(G188="","Faltan páginas",IF(H188="","Sin valorar","OK"))))))))</f>
        <v/>
      </c>
    </row>
    <row r="189" ht="20" customHeight="1">
      <c r="B189" s="10" t="n"/>
      <c r="C189" s="12" t="n"/>
      <c r="D189" s="12" t="n"/>
      <c r="E189" s="12" t="n"/>
      <c r="F189" s="12" t="n"/>
      <c r="G189" s="31" t="n"/>
      <c r="H189" s="13" t="n"/>
      <c r="I189" s="12" t="n"/>
      <c r="J189" s="23">
        <f>IF(C189="","",IFERROR(VLOOKUP(C189,Alumnado!$B$7:$C$46,2,FALSE),"?"))</f>
        <v/>
      </c>
      <c r="K189" s="23">
        <f>IF(OR(C189="",H189=""),"",REPT("★",H189)&amp;REPT("☆",5-H189))</f>
        <v/>
      </c>
      <c r="L189" s="23">
        <f>IF(AND(B189="",C189="",D189=""),"",IF(C189="","Falta alumno/a",IF(ISNA(MATCH(C189,Alumnado!$B$7:$B$46,0)),"Alumno/a no está en la lista",IF(D189="","Falta título",IF(B189="","Falta fecha",IF(OR(B189&lt;Panel!$C$9,B189&gt;Panel!$C$10),"Fuera del curso",IF(G189="","Faltan páginas",IF(H189="","Sin valorar","OK"))))))))</f>
        <v/>
      </c>
    </row>
    <row r="190" ht="20" customHeight="1">
      <c r="B190" s="10" t="n"/>
      <c r="C190" s="12" t="n"/>
      <c r="D190" s="12" t="n"/>
      <c r="E190" s="12" t="n"/>
      <c r="F190" s="12" t="n"/>
      <c r="G190" s="31" t="n"/>
      <c r="H190" s="13" t="n"/>
      <c r="I190" s="12" t="n"/>
      <c r="J190" s="23">
        <f>IF(C190="","",IFERROR(VLOOKUP(C190,Alumnado!$B$7:$C$46,2,FALSE),"?"))</f>
        <v/>
      </c>
      <c r="K190" s="23">
        <f>IF(OR(C190="",H190=""),"",REPT("★",H190)&amp;REPT("☆",5-H190))</f>
        <v/>
      </c>
      <c r="L190" s="23">
        <f>IF(AND(B190="",C190="",D190=""),"",IF(C190="","Falta alumno/a",IF(ISNA(MATCH(C190,Alumnado!$B$7:$B$46,0)),"Alumno/a no está en la lista",IF(D190="","Falta título",IF(B190="","Falta fecha",IF(OR(B190&lt;Panel!$C$9,B190&gt;Panel!$C$10),"Fuera del curso",IF(G190="","Faltan páginas",IF(H190="","Sin valorar","OK"))))))))</f>
        <v/>
      </c>
    </row>
    <row r="191" ht="20" customHeight="1">
      <c r="B191" s="10" t="n"/>
      <c r="C191" s="12" t="n"/>
      <c r="D191" s="12" t="n"/>
      <c r="E191" s="12" t="n"/>
      <c r="F191" s="12" t="n"/>
      <c r="G191" s="31" t="n"/>
      <c r="H191" s="13" t="n"/>
      <c r="I191" s="12" t="n"/>
      <c r="J191" s="23">
        <f>IF(C191="","",IFERROR(VLOOKUP(C191,Alumnado!$B$7:$C$46,2,FALSE),"?"))</f>
        <v/>
      </c>
      <c r="K191" s="23">
        <f>IF(OR(C191="",H191=""),"",REPT("★",H191)&amp;REPT("☆",5-H191))</f>
        <v/>
      </c>
      <c r="L191" s="23">
        <f>IF(AND(B191="",C191="",D191=""),"",IF(C191="","Falta alumno/a",IF(ISNA(MATCH(C191,Alumnado!$B$7:$B$46,0)),"Alumno/a no está en la lista",IF(D191="","Falta título",IF(B191="","Falta fecha",IF(OR(B191&lt;Panel!$C$9,B191&gt;Panel!$C$10),"Fuera del curso",IF(G191="","Faltan páginas",IF(H191="","Sin valorar","OK"))))))))</f>
        <v/>
      </c>
    </row>
    <row r="192" ht="20" customHeight="1">
      <c r="B192" s="10" t="n"/>
      <c r="C192" s="12" t="n"/>
      <c r="D192" s="12" t="n"/>
      <c r="E192" s="12" t="n"/>
      <c r="F192" s="12" t="n"/>
      <c r="G192" s="31" t="n"/>
      <c r="H192" s="13" t="n"/>
      <c r="I192" s="12" t="n"/>
      <c r="J192" s="23">
        <f>IF(C192="","",IFERROR(VLOOKUP(C192,Alumnado!$B$7:$C$46,2,FALSE),"?"))</f>
        <v/>
      </c>
      <c r="K192" s="23">
        <f>IF(OR(C192="",H192=""),"",REPT("★",H192)&amp;REPT("☆",5-H192))</f>
        <v/>
      </c>
      <c r="L192" s="23">
        <f>IF(AND(B192="",C192="",D192=""),"",IF(C192="","Falta alumno/a",IF(ISNA(MATCH(C192,Alumnado!$B$7:$B$46,0)),"Alumno/a no está en la lista",IF(D192="","Falta título",IF(B192="","Falta fecha",IF(OR(B192&lt;Panel!$C$9,B192&gt;Panel!$C$10),"Fuera del curso",IF(G192="","Faltan páginas",IF(H192="","Sin valorar","OK"))))))))</f>
        <v/>
      </c>
    </row>
    <row r="193" ht="20" customHeight="1">
      <c r="B193" s="10" t="n"/>
      <c r="C193" s="12" t="n"/>
      <c r="D193" s="12" t="n"/>
      <c r="E193" s="12" t="n"/>
      <c r="F193" s="12" t="n"/>
      <c r="G193" s="31" t="n"/>
      <c r="H193" s="13" t="n"/>
      <c r="I193" s="12" t="n"/>
      <c r="J193" s="23">
        <f>IF(C193="","",IFERROR(VLOOKUP(C193,Alumnado!$B$7:$C$46,2,FALSE),"?"))</f>
        <v/>
      </c>
      <c r="K193" s="23">
        <f>IF(OR(C193="",H193=""),"",REPT("★",H193)&amp;REPT("☆",5-H193))</f>
        <v/>
      </c>
      <c r="L193" s="23">
        <f>IF(AND(B193="",C193="",D193=""),"",IF(C193="","Falta alumno/a",IF(ISNA(MATCH(C193,Alumnado!$B$7:$B$46,0)),"Alumno/a no está en la lista",IF(D193="","Falta título",IF(B193="","Falta fecha",IF(OR(B193&lt;Panel!$C$9,B193&gt;Panel!$C$10),"Fuera del curso",IF(G193="","Faltan páginas",IF(H193="","Sin valorar","OK"))))))))</f>
        <v/>
      </c>
    </row>
    <row r="194" ht="20" customHeight="1">
      <c r="B194" s="10" t="n"/>
      <c r="C194" s="12" t="n"/>
      <c r="D194" s="12" t="n"/>
      <c r="E194" s="12" t="n"/>
      <c r="F194" s="12" t="n"/>
      <c r="G194" s="31" t="n"/>
      <c r="H194" s="13" t="n"/>
      <c r="I194" s="12" t="n"/>
      <c r="J194" s="23">
        <f>IF(C194="","",IFERROR(VLOOKUP(C194,Alumnado!$B$7:$C$46,2,FALSE),"?"))</f>
        <v/>
      </c>
      <c r="K194" s="23">
        <f>IF(OR(C194="",H194=""),"",REPT("★",H194)&amp;REPT("☆",5-H194))</f>
        <v/>
      </c>
      <c r="L194" s="23">
        <f>IF(AND(B194="",C194="",D194=""),"",IF(C194="","Falta alumno/a",IF(ISNA(MATCH(C194,Alumnado!$B$7:$B$46,0)),"Alumno/a no está en la lista",IF(D194="","Falta título",IF(B194="","Falta fecha",IF(OR(B194&lt;Panel!$C$9,B194&gt;Panel!$C$10),"Fuera del curso",IF(G194="","Faltan páginas",IF(H194="","Sin valorar","OK"))))))))</f>
        <v/>
      </c>
    </row>
    <row r="195" ht="20" customHeight="1">
      <c r="B195" s="10" t="n"/>
      <c r="C195" s="12" t="n"/>
      <c r="D195" s="12" t="n"/>
      <c r="E195" s="12" t="n"/>
      <c r="F195" s="12" t="n"/>
      <c r="G195" s="31" t="n"/>
      <c r="H195" s="13" t="n"/>
      <c r="I195" s="12" t="n"/>
      <c r="J195" s="23">
        <f>IF(C195="","",IFERROR(VLOOKUP(C195,Alumnado!$B$7:$C$46,2,FALSE),"?"))</f>
        <v/>
      </c>
      <c r="K195" s="23">
        <f>IF(OR(C195="",H195=""),"",REPT("★",H195)&amp;REPT("☆",5-H195))</f>
        <v/>
      </c>
      <c r="L195" s="23">
        <f>IF(AND(B195="",C195="",D195=""),"",IF(C195="","Falta alumno/a",IF(ISNA(MATCH(C195,Alumnado!$B$7:$B$46,0)),"Alumno/a no está en la lista",IF(D195="","Falta título",IF(B195="","Falta fecha",IF(OR(B195&lt;Panel!$C$9,B195&gt;Panel!$C$10),"Fuera del curso",IF(G195="","Faltan páginas",IF(H195="","Sin valorar","OK"))))))))</f>
        <v/>
      </c>
    </row>
    <row r="196" ht="20" customHeight="1">
      <c r="B196" s="10" t="n"/>
      <c r="C196" s="12" t="n"/>
      <c r="D196" s="12" t="n"/>
      <c r="E196" s="12" t="n"/>
      <c r="F196" s="12" t="n"/>
      <c r="G196" s="31" t="n"/>
      <c r="H196" s="13" t="n"/>
      <c r="I196" s="12" t="n"/>
      <c r="J196" s="23">
        <f>IF(C196="","",IFERROR(VLOOKUP(C196,Alumnado!$B$7:$C$46,2,FALSE),"?"))</f>
        <v/>
      </c>
      <c r="K196" s="23">
        <f>IF(OR(C196="",H196=""),"",REPT("★",H196)&amp;REPT("☆",5-H196))</f>
        <v/>
      </c>
      <c r="L196" s="23">
        <f>IF(AND(B196="",C196="",D196=""),"",IF(C196="","Falta alumno/a",IF(ISNA(MATCH(C196,Alumnado!$B$7:$B$46,0)),"Alumno/a no está en la lista",IF(D196="","Falta título",IF(B196="","Falta fecha",IF(OR(B196&lt;Panel!$C$9,B196&gt;Panel!$C$10),"Fuera del curso",IF(G196="","Faltan páginas",IF(H196="","Sin valorar","OK"))))))))</f>
        <v/>
      </c>
    </row>
    <row r="197" ht="20" customHeight="1">
      <c r="B197" s="10" t="n"/>
      <c r="C197" s="12" t="n"/>
      <c r="D197" s="12" t="n"/>
      <c r="E197" s="12" t="n"/>
      <c r="F197" s="12" t="n"/>
      <c r="G197" s="31" t="n"/>
      <c r="H197" s="13" t="n"/>
      <c r="I197" s="12" t="n"/>
      <c r="J197" s="23">
        <f>IF(C197="","",IFERROR(VLOOKUP(C197,Alumnado!$B$7:$C$46,2,FALSE),"?"))</f>
        <v/>
      </c>
      <c r="K197" s="23">
        <f>IF(OR(C197="",H197=""),"",REPT("★",H197)&amp;REPT("☆",5-H197))</f>
        <v/>
      </c>
      <c r="L197" s="23">
        <f>IF(AND(B197="",C197="",D197=""),"",IF(C197="","Falta alumno/a",IF(ISNA(MATCH(C197,Alumnado!$B$7:$B$46,0)),"Alumno/a no está en la lista",IF(D197="","Falta título",IF(B197="","Falta fecha",IF(OR(B197&lt;Panel!$C$9,B197&gt;Panel!$C$10),"Fuera del curso",IF(G197="","Faltan páginas",IF(H197="","Sin valorar","OK"))))))))</f>
        <v/>
      </c>
    </row>
    <row r="198" ht="20" customHeight="1">
      <c r="B198" s="10" t="n"/>
      <c r="C198" s="12" t="n"/>
      <c r="D198" s="12" t="n"/>
      <c r="E198" s="12" t="n"/>
      <c r="F198" s="12" t="n"/>
      <c r="G198" s="31" t="n"/>
      <c r="H198" s="13" t="n"/>
      <c r="I198" s="12" t="n"/>
      <c r="J198" s="23">
        <f>IF(C198="","",IFERROR(VLOOKUP(C198,Alumnado!$B$7:$C$46,2,FALSE),"?"))</f>
        <v/>
      </c>
      <c r="K198" s="23">
        <f>IF(OR(C198="",H198=""),"",REPT("★",H198)&amp;REPT("☆",5-H198))</f>
        <v/>
      </c>
      <c r="L198" s="23">
        <f>IF(AND(B198="",C198="",D198=""),"",IF(C198="","Falta alumno/a",IF(ISNA(MATCH(C198,Alumnado!$B$7:$B$46,0)),"Alumno/a no está en la lista",IF(D198="","Falta título",IF(B198="","Falta fecha",IF(OR(B198&lt;Panel!$C$9,B198&gt;Panel!$C$10),"Fuera del curso",IF(G198="","Faltan páginas",IF(H198="","Sin valorar","OK"))))))))</f>
        <v/>
      </c>
    </row>
    <row r="199" ht="20" customHeight="1">
      <c r="B199" s="10" t="n"/>
      <c r="C199" s="12" t="n"/>
      <c r="D199" s="12" t="n"/>
      <c r="E199" s="12" t="n"/>
      <c r="F199" s="12" t="n"/>
      <c r="G199" s="31" t="n"/>
      <c r="H199" s="13" t="n"/>
      <c r="I199" s="12" t="n"/>
      <c r="J199" s="23">
        <f>IF(C199="","",IFERROR(VLOOKUP(C199,Alumnado!$B$7:$C$46,2,FALSE),"?"))</f>
        <v/>
      </c>
      <c r="K199" s="23">
        <f>IF(OR(C199="",H199=""),"",REPT("★",H199)&amp;REPT("☆",5-H199))</f>
        <v/>
      </c>
      <c r="L199" s="23">
        <f>IF(AND(B199="",C199="",D199=""),"",IF(C199="","Falta alumno/a",IF(ISNA(MATCH(C199,Alumnado!$B$7:$B$46,0)),"Alumno/a no está en la lista",IF(D199="","Falta título",IF(B199="","Falta fecha",IF(OR(B199&lt;Panel!$C$9,B199&gt;Panel!$C$10),"Fuera del curso",IF(G199="","Faltan páginas",IF(H199="","Sin valorar","OK"))))))))</f>
        <v/>
      </c>
    </row>
    <row r="200" ht="20" customHeight="1">
      <c r="B200" s="10" t="n"/>
      <c r="C200" s="12" t="n"/>
      <c r="D200" s="12" t="n"/>
      <c r="E200" s="12" t="n"/>
      <c r="F200" s="12" t="n"/>
      <c r="G200" s="31" t="n"/>
      <c r="H200" s="13" t="n"/>
      <c r="I200" s="12" t="n"/>
      <c r="J200" s="23">
        <f>IF(C200="","",IFERROR(VLOOKUP(C200,Alumnado!$B$7:$C$46,2,FALSE),"?"))</f>
        <v/>
      </c>
      <c r="K200" s="23">
        <f>IF(OR(C200="",H200=""),"",REPT("★",H200)&amp;REPT("☆",5-H200))</f>
        <v/>
      </c>
      <c r="L200" s="23">
        <f>IF(AND(B200="",C200="",D200=""),"",IF(C200="","Falta alumno/a",IF(ISNA(MATCH(C200,Alumnado!$B$7:$B$46,0)),"Alumno/a no está en la lista",IF(D200="","Falta título",IF(B200="","Falta fecha",IF(OR(B200&lt;Panel!$C$9,B200&gt;Panel!$C$10),"Fuera del curso",IF(G200="","Faltan páginas",IF(H200="","Sin valorar","OK"))))))))</f>
        <v/>
      </c>
    </row>
    <row r="201" ht="20" customHeight="1">
      <c r="B201" s="10" t="n"/>
      <c r="C201" s="12" t="n"/>
      <c r="D201" s="12" t="n"/>
      <c r="E201" s="12" t="n"/>
      <c r="F201" s="12" t="n"/>
      <c r="G201" s="31" t="n"/>
      <c r="H201" s="13" t="n"/>
      <c r="I201" s="12" t="n"/>
      <c r="J201" s="23">
        <f>IF(C201="","",IFERROR(VLOOKUP(C201,Alumnado!$B$7:$C$46,2,FALSE),"?"))</f>
        <v/>
      </c>
      <c r="K201" s="23">
        <f>IF(OR(C201="",H201=""),"",REPT("★",H201)&amp;REPT("☆",5-H201))</f>
        <v/>
      </c>
      <c r="L201" s="23">
        <f>IF(AND(B201="",C201="",D201=""),"",IF(C201="","Falta alumno/a",IF(ISNA(MATCH(C201,Alumnado!$B$7:$B$46,0)),"Alumno/a no está en la lista",IF(D201="","Falta título",IF(B201="","Falta fecha",IF(OR(B201&lt;Panel!$C$9,B201&gt;Panel!$C$10),"Fuera del curso",IF(G201="","Faltan páginas",IF(H201="","Sin valorar","OK"))))))))</f>
        <v/>
      </c>
    </row>
    <row r="202" ht="20" customHeight="1">
      <c r="B202" s="10" t="n"/>
      <c r="C202" s="12" t="n"/>
      <c r="D202" s="12" t="n"/>
      <c r="E202" s="12" t="n"/>
      <c r="F202" s="12" t="n"/>
      <c r="G202" s="31" t="n"/>
      <c r="H202" s="13" t="n"/>
      <c r="I202" s="12" t="n"/>
      <c r="J202" s="23">
        <f>IF(C202="","",IFERROR(VLOOKUP(C202,Alumnado!$B$7:$C$46,2,FALSE),"?"))</f>
        <v/>
      </c>
      <c r="K202" s="23">
        <f>IF(OR(C202="",H202=""),"",REPT("★",H202)&amp;REPT("☆",5-H202))</f>
        <v/>
      </c>
      <c r="L202" s="23">
        <f>IF(AND(B202="",C202="",D202=""),"",IF(C202="","Falta alumno/a",IF(ISNA(MATCH(C202,Alumnado!$B$7:$B$46,0)),"Alumno/a no está en la lista",IF(D202="","Falta título",IF(B202="","Falta fecha",IF(OR(B202&lt;Panel!$C$9,B202&gt;Panel!$C$10),"Fuera del curso",IF(G202="","Faltan páginas",IF(H202="","Sin valorar","OK"))))))))</f>
        <v/>
      </c>
    </row>
    <row r="203" ht="20" customHeight="1">
      <c r="B203" s="10" t="n"/>
      <c r="C203" s="12" t="n"/>
      <c r="D203" s="12" t="n"/>
      <c r="E203" s="12" t="n"/>
      <c r="F203" s="12" t="n"/>
      <c r="G203" s="31" t="n"/>
      <c r="H203" s="13" t="n"/>
      <c r="I203" s="12" t="n"/>
      <c r="J203" s="23">
        <f>IF(C203="","",IFERROR(VLOOKUP(C203,Alumnado!$B$7:$C$46,2,FALSE),"?"))</f>
        <v/>
      </c>
      <c r="K203" s="23">
        <f>IF(OR(C203="",H203=""),"",REPT("★",H203)&amp;REPT("☆",5-H203))</f>
        <v/>
      </c>
      <c r="L203" s="23">
        <f>IF(AND(B203="",C203="",D203=""),"",IF(C203="","Falta alumno/a",IF(ISNA(MATCH(C203,Alumnado!$B$7:$B$46,0)),"Alumno/a no está en la lista",IF(D203="","Falta título",IF(B203="","Falta fecha",IF(OR(B203&lt;Panel!$C$9,B203&gt;Panel!$C$10),"Fuera del curso",IF(G203="","Faltan páginas",IF(H203="","Sin valorar","OK"))))))))</f>
        <v/>
      </c>
    </row>
    <row r="204" ht="20" customHeight="1">
      <c r="B204" s="10" t="n"/>
      <c r="C204" s="12" t="n"/>
      <c r="D204" s="12" t="n"/>
      <c r="E204" s="12" t="n"/>
      <c r="F204" s="12" t="n"/>
      <c r="G204" s="31" t="n"/>
      <c r="H204" s="13" t="n"/>
      <c r="I204" s="12" t="n"/>
      <c r="J204" s="23">
        <f>IF(C204="","",IFERROR(VLOOKUP(C204,Alumnado!$B$7:$C$46,2,FALSE),"?"))</f>
        <v/>
      </c>
      <c r="K204" s="23">
        <f>IF(OR(C204="",H204=""),"",REPT("★",H204)&amp;REPT("☆",5-H204))</f>
        <v/>
      </c>
      <c r="L204" s="23">
        <f>IF(AND(B204="",C204="",D204=""),"",IF(C204="","Falta alumno/a",IF(ISNA(MATCH(C204,Alumnado!$B$7:$B$46,0)),"Alumno/a no está en la lista",IF(D204="","Falta título",IF(B204="","Falta fecha",IF(OR(B204&lt;Panel!$C$9,B204&gt;Panel!$C$10),"Fuera del curso",IF(G204="","Faltan páginas",IF(H204="","Sin valorar","OK"))))))))</f>
        <v/>
      </c>
    </row>
    <row r="205" ht="20" customHeight="1">
      <c r="B205" s="10" t="n"/>
      <c r="C205" s="12" t="n"/>
      <c r="D205" s="12" t="n"/>
      <c r="E205" s="12" t="n"/>
      <c r="F205" s="12" t="n"/>
      <c r="G205" s="31" t="n"/>
      <c r="H205" s="13" t="n"/>
      <c r="I205" s="12" t="n"/>
      <c r="J205" s="23">
        <f>IF(C205="","",IFERROR(VLOOKUP(C205,Alumnado!$B$7:$C$46,2,FALSE),"?"))</f>
        <v/>
      </c>
      <c r="K205" s="23">
        <f>IF(OR(C205="",H205=""),"",REPT("★",H205)&amp;REPT("☆",5-H205))</f>
        <v/>
      </c>
      <c r="L205" s="23">
        <f>IF(AND(B205="",C205="",D205=""),"",IF(C205="","Falta alumno/a",IF(ISNA(MATCH(C205,Alumnado!$B$7:$B$46,0)),"Alumno/a no está en la lista",IF(D205="","Falta título",IF(B205="","Falta fecha",IF(OR(B205&lt;Panel!$C$9,B205&gt;Panel!$C$10),"Fuera del curso",IF(G205="","Faltan páginas",IF(H205="","Sin valorar","OK"))))))))</f>
        <v/>
      </c>
    </row>
    <row r="206" ht="20" customHeight="1">
      <c r="B206" s="10" t="n"/>
      <c r="C206" s="12" t="n"/>
      <c r="D206" s="12" t="n"/>
      <c r="E206" s="12" t="n"/>
      <c r="F206" s="12" t="n"/>
      <c r="G206" s="31" t="n"/>
      <c r="H206" s="13" t="n"/>
      <c r="I206" s="12" t="n"/>
      <c r="J206" s="23">
        <f>IF(C206="","",IFERROR(VLOOKUP(C206,Alumnado!$B$7:$C$46,2,FALSE),"?"))</f>
        <v/>
      </c>
      <c r="K206" s="23">
        <f>IF(OR(C206="",H206=""),"",REPT("★",H206)&amp;REPT("☆",5-H206))</f>
        <v/>
      </c>
      <c r="L206" s="23">
        <f>IF(AND(B206="",C206="",D206=""),"",IF(C206="","Falta alumno/a",IF(ISNA(MATCH(C206,Alumnado!$B$7:$B$46,0)),"Alumno/a no está en la lista",IF(D206="","Falta título",IF(B206="","Falta fecha",IF(OR(B206&lt;Panel!$C$9,B206&gt;Panel!$C$10),"Fuera del curso",IF(G206="","Faltan páginas",IF(H206="","Sin valorar","OK"))))))))</f>
        <v/>
      </c>
    </row>
    <row r="208">
      <c r="B208" s="20" t="inlineStr">
        <is>
          <t>Hasta la fila 206 (200 lecturas). El alumno/a debe existir en la hoja «Alumnado»; el aviso te dice si no es así.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L7:L206">
    <cfRule type="expression" priority="1" dxfId="2">
      <formula>AND(L7&lt;&gt;"",L7&lt;&gt;"OK")</formula>
    </cfRule>
  </conditionalFormatting>
  <dataValidations count="5">
    <dataValidation sqref="C7:C206" showDropDown="0" showInputMessage="0" showErrorMessage="0" allowBlank="1" type="list">
      <formula1>=Alumnado!$B$7:$B$46</formula1>
    </dataValidation>
    <dataValidation sqref="F7:F206" showDropDown="0" showInputMessage="0" showErrorMessage="0" allowBlank="1" type="list">
      <formula1>=Listas!$B$2:$B$9</formula1>
    </dataValidation>
    <dataValidation sqref="H7:H206" showDropDown="0" showInputMessage="0" showErrorMessage="0" allowBlank="1" errorTitle="Valoración" error="Escribe un número entero del 1 al 5." type="whole" operator="between">
      <formula1>1</formula1>
      <formula2>5</formula2>
    </dataValidation>
    <dataValidation sqref="G7:G206" showDropDown="0" showInputMessage="0" showErrorMessage="0" allowBlank="1" errorTitle="Páginas" error="Escribe un número entero mayor que 0." type="whole" operator="greaterThan">
      <formula1>0</formula1>
    </dataValidation>
    <dataValidation sqref="B7:B206" showDropDown="0" showInputMessage="0" showErrorMessage="0" allowBlank="1" errorTitle="Fecha" error="Escribe una fecha válida (dd/mm/aaaa)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seguimiento de lectura del alumnado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2" t="inlineStr">
        <is>
          <t>1.  En la hoja «Panel» fija las fechas de inicio y fin del curso, el reto de libros por alumno/a (celda C13) y, si quieres, una fecha de referencia.</t>
        </is>
      </c>
    </row>
    <row r="7" ht="30" customHeight="1">
      <c r="B7" s="32" t="inlineStr">
        <is>
          <t>2.  Ajusta los cuatro niveles lectores del Panel (nombre y número mínimo de libros). Los mínimos van de menor a mayor y el primero es 0.</t>
        </is>
      </c>
    </row>
    <row r="8" ht="30" customHeight="1">
      <c r="B8" s="32" t="inlineStr">
        <is>
          <t>3.  En «Alumnado» escribe el nombre de cada alumno/a y elige su grupo en el desplegable. Hay sitio para 40 alumnos.</t>
        </is>
      </c>
    </row>
    <row r="9" ht="30" customHeight="1">
      <c r="B9" s="32" t="inlineStr">
        <is>
          <t>4.  Si algún alumno/a necesita un objetivo distinto al de la clase, escríbelo en «Objetivo personal»; si lo dejas vacío se aplica el reto general.</t>
        </is>
      </c>
    </row>
    <row r="10" ht="30" customHeight="1">
      <c r="B10" s="32" t="inlineStr">
        <is>
          <t>5.  Cada vez que termine un libro, añade una fila en «Lecturas»: fecha de fin, alumno/a (desplegable), título, autor/a, género, páginas y valoración de 1 a 5.</t>
        </is>
      </c>
    </row>
    <row r="11" ht="30" customHeight="1">
      <c r="B11" s="32" t="inlineStr">
        <is>
          <t>6.  Revisa la columna «Aviso» de «Lecturas»: te indica si falta el alumno, el título, la fecha o las páginas, o si la fecha cae fuera del curso.</t>
        </is>
      </c>
    </row>
    <row r="12" ht="30" customHeight="1">
      <c r="B12" s="32" t="inlineStr">
        <is>
          <t>7.  Vuelve a «Alumnado» para ver libros leídos, progreso del reto, estado (Cumplido, En ritmo, Por debajo), nivel lector, último libro y puesto.</t>
        </is>
      </c>
    </row>
    <row r="13" ht="30" customHeight="1">
      <c r="B13" s="32" t="inlineStr">
        <is>
          <t>8.  Abre el «Panel»: KPIs, ranking top 10, resumen por grupo, libros por mes, género más leído y dos gráficos.</t>
        </is>
      </c>
    </row>
    <row r="15">
      <c r="B15" s="8" t="inlineStr">
        <is>
          <t>CONSEJOS</t>
        </is>
      </c>
    </row>
    <row r="16" ht="30" customHeight="1">
      <c r="B16" s="32" t="inlineStr">
        <is>
          <t>•  Las hojas están protegidas sin contraseña: solo se pueden editar las celdas crema. Para cambiar fórmulas ve a Revisar &gt; Desproteger hoja.</t>
        </is>
      </c>
    </row>
    <row r="17" ht="30" customHeight="1">
      <c r="B17" s="32" t="inlineStr">
        <is>
          <t>•  Los grupos y géneros se editan en la hoja oculta «Listas» (clic derecho sobre una pestaña &gt; Mostrar). Mantén 6 grupos y 8 géneros para que el Panel los recoja.</t>
        </is>
      </c>
    </row>
    <row r="18" ht="30" customHeight="1">
      <c r="B18" s="32" t="inlineStr">
        <is>
          <t>•  El archivo cuenta las lecturas por el nombre exacto del alumno/a: no repitas nombres y usa siempre el desplegable para evitar errores de escritura.</t>
        </is>
      </c>
    </row>
    <row r="19" ht="30" customHeight="1">
      <c r="B19" s="32" t="inlineStr">
        <is>
          <t>•  El estado «En ritmo» compara los libros leídos con el avance esperado del curso a la fecha de referencia; no es una nota ni una evaluación oficial.</t>
        </is>
      </c>
    </row>
    <row r="20" ht="30" customHeight="1">
      <c r="B20" s="32" t="inlineStr">
        <is>
          <t>•  Para un curso nuevo, guarda una copia del archivo, borra las filas de «Lecturas» y cambia las fechas del Panel.</t>
        </is>
      </c>
    </row>
    <row r="21" ht="30" customHeight="1">
      <c r="B21" s="32" t="inlineStr">
        <is>
          <t>•  Los niveles lectores se calculan solo por número de libros: ajusta los mínimos a tu centro y a la edad de tu alumnado.</t>
        </is>
      </c>
    </row>
    <row r="23">
      <c r="B23" s="20" t="inlineStr">
        <is>
          <t>Las celdas con fondo crema y texto azul son para rellenar; las verdes se calculan solas.</t>
        </is>
      </c>
    </row>
    <row r="25" ht="44" customHeight="1">
      <c r="B25" s="33" t="inlineStr">
        <is>
          <t>Aviso: esta plantilla sirve para registrar y organizar las lecturas de tu clase; el reto y los niveles son orientativos y no sustituyen la evaluación del profesorado. Los nombres y lecturas de ejemplo son ficticios. Si usas nombres reales, cumple la normativa de protección de datos de tu centro educativo.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Grupo</t>
        </is>
      </c>
      <c r="B1" t="inlineStr">
        <is>
          <t>Género</t>
        </is>
      </c>
      <c r="C1" t="inlineStr">
        <is>
          <t>Mes</t>
        </is>
      </c>
    </row>
    <row r="2">
      <c r="A2" t="inlineStr">
        <is>
          <t>1º ESO A</t>
        </is>
      </c>
      <c r="B2" t="inlineStr">
        <is>
          <t>Novela juvenil</t>
        </is>
      </c>
      <c r="C2" t="inlineStr">
        <is>
          <t>ene</t>
        </is>
      </c>
    </row>
    <row r="3">
      <c r="A3" t="inlineStr">
        <is>
          <t>1º ESO B</t>
        </is>
      </c>
      <c r="B3" t="inlineStr">
        <is>
          <t>Fantasía</t>
        </is>
      </c>
      <c r="C3" t="inlineStr">
        <is>
          <t>feb</t>
        </is>
      </c>
    </row>
    <row r="4">
      <c r="A4" t="inlineStr">
        <is>
          <t>2º ESO A</t>
        </is>
      </c>
      <c r="B4" t="inlineStr">
        <is>
          <t>Ciencia ficción</t>
        </is>
      </c>
      <c r="C4" t="inlineStr">
        <is>
          <t>mar</t>
        </is>
      </c>
    </row>
    <row r="5">
      <c r="A5" t="inlineStr">
        <is>
          <t>2º ESO B</t>
        </is>
      </c>
      <c r="B5" t="inlineStr">
        <is>
          <t>Misterio y terror</t>
        </is>
      </c>
      <c r="C5" t="inlineStr">
        <is>
          <t>abr</t>
        </is>
      </c>
    </row>
    <row r="6">
      <c r="A6" t="inlineStr">
        <is>
          <t>3º ESO A</t>
        </is>
      </c>
      <c r="B6" t="inlineStr">
        <is>
          <t>Aventuras</t>
        </is>
      </c>
      <c r="C6" t="inlineStr">
        <is>
          <t>may</t>
        </is>
      </c>
    </row>
    <row r="7">
      <c r="A7" t="inlineStr">
        <is>
          <t>3º ESO B</t>
        </is>
      </c>
      <c r="B7" t="inlineStr">
        <is>
          <t>Cómic y novela gráfica</t>
        </is>
      </c>
      <c r="C7" t="inlineStr">
        <is>
          <t>jun</t>
        </is>
      </c>
    </row>
    <row r="8">
      <c r="B8" t="inlineStr">
        <is>
          <t>No ficción</t>
        </is>
      </c>
      <c r="C8" t="inlineStr">
        <is>
          <t>jul</t>
        </is>
      </c>
    </row>
    <row r="9">
      <c r="B9" t="inlineStr">
        <is>
          <t>Poesía y teatro</t>
        </is>
      </c>
      <c r="C9" t="inlineStr">
        <is>
          <t>ago</t>
        </is>
      </c>
    </row>
    <row r="10">
      <c r="C10" t="inlineStr">
        <is>
          <t>sep</t>
        </is>
      </c>
    </row>
    <row r="11">
      <c r="C11" t="inlineStr">
        <is>
          <t>oct</t>
        </is>
      </c>
    </row>
    <row r="12">
      <c r="C12" t="inlineStr">
        <is>
          <t>nov</t>
        </is>
      </c>
    </row>
    <row r="13">
      <c r="C13" t="inlineStr">
        <is>
          <t>dic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2026-10-03T09:46:43Z</dcterms:created>
  <dcterms:modified xmlns:dcterms="http://purl.org/dc/terms/" xmlns:xsi="http://www.w3.org/2001/XMLSchema-instance" xsi:type="dcterms:W3CDTF">2026-10-03T09:46:43Z</dcterms:modified>
</cp:coreProperties>
</file>